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autoCompressPictures="0"/>
  <bookViews>
    <workbookView xWindow="460" yWindow="0" windowWidth="25140" windowHeight="14540" tabRatio="500"/>
  </bookViews>
  <sheets>
    <sheet name="League Table" sheetId="2" r:id="rId1"/>
    <sheet name="Warm-water" sheetId="1" r:id="rId2"/>
    <sheet name="Cold-water" sheetId="6" r:id="rId3"/>
    <sheet name="MSC-FIP info" sheetId="5" r:id="rId4"/>
    <sheet name="MSC conditions" sheetId="8" r:id="rId5"/>
    <sheet name="FAO (1)" sheetId="7" r:id="rId6"/>
    <sheet name="FAO (2 - by country)" sheetId="4" r:id="rId7"/>
  </sheets>
  <definedNames>
    <definedName name="_xlnm._FilterDatabase" localSheetId="5" hidden="1">'FAO (1)'!$A$4:$G$360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5" i="6" l="1"/>
  <c r="H41" i="2"/>
  <c r="I15" i="6"/>
  <c r="H27" i="5"/>
  <c r="H26" i="5"/>
  <c r="I22" i="1"/>
  <c r="I21" i="1"/>
  <c r="H28" i="5"/>
  <c r="C14" i="5"/>
  <c r="C15" i="5"/>
  <c r="C18" i="5"/>
  <c r="L5" i="5"/>
  <c r="I5" i="6"/>
  <c r="F21" i="1"/>
  <c r="H24" i="5"/>
  <c r="H25" i="5"/>
  <c r="H30" i="5"/>
  <c r="H31" i="5"/>
  <c r="H33" i="5"/>
  <c r="I7" i="6"/>
  <c r="I8" i="6"/>
  <c r="I9" i="6"/>
  <c r="I10" i="6"/>
  <c r="I11" i="6"/>
  <c r="C11" i="5"/>
  <c r="C12" i="5"/>
  <c r="C13" i="5"/>
  <c r="L4" i="5"/>
  <c r="F6" i="6"/>
  <c r="F9" i="6"/>
  <c r="H56" i="2"/>
  <c r="H57" i="2"/>
  <c r="F7" i="1"/>
  <c r="F12" i="1"/>
  <c r="F13" i="1"/>
  <c r="F14" i="1"/>
  <c r="F15" i="1"/>
  <c r="F16" i="1"/>
  <c r="F22" i="1"/>
  <c r="F24" i="1"/>
  <c r="L6" i="1"/>
  <c r="L9" i="1"/>
  <c r="C5" i="1"/>
  <c r="C7" i="1"/>
  <c r="C9" i="1"/>
  <c r="C11" i="1"/>
  <c r="I23" i="1"/>
  <c r="H60" i="2"/>
  <c r="C7" i="6"/>
  <c r="C5" i="6"/>
  <c r="H39" i="2"/>
  <c r="I5" i="1"/>
  <c r="I6" i="1"/>
  <c r="I18" i="1"/>
  <c r="I19" i="1"/>
  <c r="I20" i="1"/>
  <c r="I25" i="1"/>
  <c r="M5" i="6"/>
  <c r="M6" i="6"/>
  <c r="C10" i="6"/>
  <c r="M4" i="6"/>
  <c r="N4" i="6"/>
  <c r="C19" i="5"/>
  <c r="C20" i="5"/>
  <c r="L7" i="5"/>
  <c r="M4" i="5"/>
  <c r="M6" i="5"/>
  <c r="M7" i="5"/>
  <c r="O7" i="5"/>
  <c r="O4" i="5"/>
  <c r="O5" i="5"/>
  <c r="O6" i="5"/>
  <c r="P7" i="5"/>
  <c r="P6" i="5"/>
  <c r="P5" i="5"/>
  <c r="P4" i="5"/>
  <c r="N4" i="8"/>
  <c r="N5" i="8"/>
  <c r="N6" i="8"/>
  <c r="N7" i="8"/>
  <c r="O6" i="6"/>
  <c r="O5" i="6"/>
  <c r="O4" i="6"/>
  <c r="P7" i="1"/>
  <c r="P4" i="1"/>
  <c r="P5" i="1"/>
  <c r="P6" i="1"/>
  <c r="R7" i="1"/>
  <c r="R6" i="1"/>
  <c r="R5" i="1"/>
  <c r="R4" i="1"/>
  <c r="I14" i="4"/>
  <c r="I15" i="4"/>
  <c r="J14" i="4"/>
  <c r="J13" i="4"/>
  <c r="J12" i="4"/>
  <c r="J11" i="4"/>
  <c r="J10" i="4"/>
  <c r="J9" i="4"/>
  <c r="J8" i="4"/>
  <c r="J7" i="4"/>
  <c r="J6" i="4"/>
  <c r="J5" i="4"/>
  <c r="J4" i="4"/>
  <c r="H36" i="5"/>
  <c r="H35" i="5"/>
  <c r="H34" i="5"/>
  <c r="C22" i="5"/>
  <c r="C21" i="5"/>
  <c r="N6" i="6"/>
  <c r="N5" i="6"/>
  <c r="Q7" i="1"/>
  <c r="Q6" i="1"/>
  <c r="Q5" i="1"/>
  <c r="Q4" i="1"/>
  <c r="H367" i="7"/>
  <c r="H366" i="7"/>
  <c r="H365" i="7"/>
  <c r="G6" i="7"/>
  <c r="G5" i="7"/>
  <c r="G7" i="7"/>
  <c r="G9" i="7"/>
  <c r="G8" i="7"/>
  <c r="G10" i="7"/>
  <c r="G11" i="7"/>
  <c r="G12" i="7"/>
  <c r="G13" i="7"/>
  <c r="G14" i="7"/>
  <c r="G15" i="7"/>
  <c r="G16" i="7"/>
  <c r="G17" i="7"/>
  <c r="G18" i="7"/>
  <c r="G19" i="7"/>
  <c r="G20" i="7"/>
  <c r="G21" i="7"/>
  <c r="G22" i="7"/>
  <c r="G23" i="7"/>
  <c r="G24" i="7"/>
  <c r="G25" i="7"/>
  <c r="G26" i="7"/>
  <c r="G28" i="7"/>
  <c r="G27" i="7"/>
  <c r="G29" i="7"/>
  <c r="G30" i="7"/>
  <c r="G31" i="7"/>
  <c r="G32" i="7"/>
  <c r="G33" i="7"/>
  <c r="G35" i="7"/>
  <c r="G34" i="7"/>
  <c r="G36" i="7"/>
  <c r="G37" i="7"/>
  <c r="G38" i="7"/>
  <c r="G41" i="7"/>
  <c r="G39" i="7"/>
  <c r="G40" i="7"/>
  <c r="G42" i="7"/>
  <c r="G43" i="7"/>
  <c r="G46" i="7"/>
  <c r="G47" i="7"/>
  <c r="G44" i="7"/>
  <c r="G45" i="7"/>
  <c r="G48" i="7"/>
  <c r="G49" i="7"/>
  <c r="G52" i="7"/>
  <c r="G50" i="7"/>
  <c r="G53" i="7"/>
  <c r="G51" i="7"/>
  <c r="G54" i="7"/>
  <c r="G55" i="7"/>
  <c r="G56" i="7"/>
  <c r="G57" i="7"/>
  <c r="G58" i="7"/>
  <c r="G59" i="7"/>
  <c r="G60" i="7"/>
  <c r="G61" i="7"/>
  <c r="G62" i="7"/>
  <c r="G63" i="7"/>
  <c r="G64" i="7"/>
  <c r="G65" i="7"/>
  <c r="G66" i="7"/>
  <c r="G67" i="7"/>
  <c r="G68" i="7"/>
  <c r="G69" i="7"/>
  <c r="G72" i="7"/>
  <c r="G73" i="7"/>
  <c r="G76" i="7"/>
  <c r="G70" i="7"/>
  <c r="G71" i="7"/>
  <c r="G74" i="7"/>
  <c r="G75" i="7"/>
  <c r="G77" i="7"/>
  <c r="G78" i="7"/>
  <c r="G79" i="7"/>
  <c r="G80" i="7"/>
  <c r="G81" i="7"/>
  <c r="G82" i="7"/>
  <c r="G83" i="7"/>
  <c r="G84" i="7"/>
  <c r="G85" i="7"/>
  <c r="G86" i="7"/>
  <c r="G87" i="7"/>
  <c r="G97" i="7"/>
  <c r="G98" i="7"/>
  <c r="G89" i="7"/>
  <c r="G88" i="7"/>
  <c r="G96" i="7"/>
  <c r="G92" i="7"/>
  <c r="G93" i="7"/>
  <c r="G90" i="7"/>
  <c r="G91" i="7"/>
  <c r="G99" i="7"/>
  <c r="G94" i="7"/>
  <c r="G95" i="7"/>
  <c r="G100" i="7"/>
  <c r="G103" i="7"/>
  <c r="G101" i="7"/>
  <c r="G102" i="7"/>
  <c r="G104" i="7"/>
  <c r="G105" i="7"/>
  <c r="G107" i="7"/>
  <c r="G106" i="7"/>
  <c r="G108" i="7"/>
  <c r="G109" i="7"/>
  <c r="G110" i="7"/>
  <c r="G111" i="7"/>
  <c r="G113" i="7"/>
  <c r="G114" i="7"/>
  <c r="G112" i="7"/>
  <c r="G115" i="7"/>
  <c r="G116" i="7"/>
  <c r="G117" i="7"/>
  <c r="G118" i="7"/>
  <c r="G119" i="7"/>
  <c r="G120" i="7"/>
  <c r="G121" i="7"/>
  <c r="G122" i="7"/>
  <c r="G123" i="7"/>
  <c r="G125" i="7"/>
  <c r="G124" i="7"/>
  <c r="G126" i="7"/>
  <c r="G127" i="7"/>
  <c r="G128" i="7"/>
  <c r="G129" i="7"/>
  <c r="G130" i="7"/>
  <c r="G131" i="7"/>
  <c r="G134" i="7"/>
  <c r="G135" i="7"/>
  <c r="G132" i="7"/>
  <c r="G136" i="7"/>
  <c r="G133" i="7"/>
  <c r="G143" i="7"/>
  <c r="G137" i="7"/>
  <c r="G144" i="7"/>
  <c r="G138" i="7"/>
  <c r="G139" i="7"/>
  <c r="G140" i="7"/>
  <c r="G141" i="7"/>
  <c r="G142" i="7"/>
  <c r="G145" i="7"/>
  <c r="G146" i="7"/>
  <c r="G147" i="7"/>
  <c r="G148" i="7"/>
  <c r="G149" i="7"/>
  <c r="G151" i="7"/>
  <c r="G150" i="7"/>
  <c r="G155" i="7"/>
  <c r="G156" i="7"/>
  <c r="G153" i="7"/>
  <c r="G152" i="7"/>
  <c r="G154" i="7"/>
  <c r="G157" i="7"/>
  <c r="G158" i="7"/>
  <c r="G159" i="7"/>
  <c r="G164" i="7"/>
  <c r="G165" i="7"/>
  <c r="G161" i="7"/>
  <c r="G160" i="7"/>
  <c r="G166" i="7"/>
  <c r="G168" i="7"/>
  <c r="G162" i="7"/>
  <c r="G167" i="7"/>
  <c r="G163" i="7"/>
  <c r="G169" i="7"/>
  <c r="G170" i="7"/>
  <c r="G171" i="7"/>
  <c r="G172" i="7"/>
  <c r="G173" i="7"/>
  <c r="G174" i="7"/>
  <c r="G175" i="7"/>
  <c r="G176" i="7"/>
  <c r="G177" i="7"/>
  <c r="G178" i="7"/>
  <c r="G180" i="7"/>
  <c r="G179" i="7"/>
  <c r="G181" i="7"/>
  <c r="G186" i="7"/>
  <c r="G182" i="7"/>
  <c r="G187" i="7"/>
  <c r="G185" i="7"/>
  <c r="G183" i="7"/>
  <c r="G184" i="7"/>
  <c r="G188" i="7"/>
  <c r="G189" i="7"/>
  <c r="G191" i="7"/>
  <c r="G192" i="7"/>
  <c r="G193" i="7"/>
  <c r="G194" i="7"/>
  <c r="G195" i="7"/>
  <c r="G196" i="7"/>
  <c r="G197" i="7"/>
  <c r="G190" i="7"/>
  <c r="G198" i="7"/>
  <c r="G199" i="7"/>
  <c r="G200" i="7"/>
  <c r="G201" i="7"/>
  <c r="G202" i="7"/>
  <c r="G203" i="7"/>
  <c r="G204" i="7"/>
  <c r="G205" i="7"/>
  <c r="G206" i="7"/>
  <c r="G207" i="7"/>
  <c r="G208" i="7"/>
  <c r="G209" i="7"/>
  <c r="G210" i="7"/>
  <c r="G211" i="7"/>
  <c r="G212" i="7"/>
  <c r="G213" i="7"/>
  <c r="G214" i="7"/>
  <c r="G215" i="7"/>
  <c r="G216" i="7"/>
  <c r="G217" i="7"/>
  <c r="G218" i="7"/>
  <c r="G219" i="7"/>
  <c r="G223" i="7"/>
  <c r="G221" i="7"/>
  <c r="G220" i="7"/>
  <c r="G222" i="7"/>
  <c r="G224" i="7"/>
  <c r="G227" i="7"/>
  <c r="G225" i="7"/>
  <c r="G226" i="7"/>
  <c r="G228" i="7"/>
  <c r="G229" i="7"/>
  <c r="G230" i="7"/>
  <c r="G234" i="7"/>
  <c r="G231" i="7"/>
  <c r="G232" i="7"/>
  <c r="G233" i="7"/>
  <c r="G237" i="7"/>
  <c r="G240" i="7"/>
  <c r="G245" i="7"/>
  <c r="G251" i="7"/>
  <c r="G241" i="7"/>
  <c r="G235" i="7"/>
  <c r="G246" i="7"/>
  <c r="G236" i="7"/>
  <c r="G242" i="7"/>
  <c r="G247" i="7"/>
  <c r="G250" i="7"/>
  <c r="G248" i="7"/>
  <c r="G243" i="7"/>
  <c r="G244" i="7"/>
  <c r="G249" i="7"/>
  <c r="G238" i="7"/>
  <c r="G239" i="7"/>
  <c r="G256" i="7"/>
  <c r="G260" i="7"/>
  <c r="G255" i="7"/>
  <c r="G259" i="7"/>
  <c r="G254" i="7"/>
  <c r="G253" i="7"/>
  <c r="G257" i="7"/>
  <c r="G252" i="7"/>
  <c r="G258" i="7"/>
  <c r="G261" i="7"/>
  <c r="G262" i="7"/>
  <c r="G264" i="7"/>
  <c r="G263" i="7"/>
  <c r="G265" i="7"/>
  <c r="G268" i="7"/>
  <c r="G266" i="7"/>
  <c r="G267" i="7"/>
  <c r="G269" i="7"/>
  <c r="G270" i="7"/>
  <c r="G271" i="7"/>
  <c r="G272" i="7"/>
  <c r="G291" i="7"/>
  <c r="G280" i="7"/>
  <c r="G281" i="7"/>
  <c r="G292" i="7"/>
  <c r="G293" i="7"/>
  <c r="G282" i="7"/>
  <c r="G283" i="7"/>
  <c r="G284" i="7"/>
  <c r="G285" i="7"/>
  <c r="G275" i="7"/>
  <c r="G279" i="7"/>
  <c r="G288" i="7"/>
  <c r="G274" i="7"/>
  <c r="G289" i="7"/>
  <c r="G276" i="7"/>
  <c r="G286" i="7"/>
  <c r="G290" i="7"/>
  <c r="G273" i="7"/>
  <c r="G287" i="7"/>
  <c r="G277" i="7"/>
  <c r="G278" i="7"/>
  <c r="G294" i="7"/>
  <c r="G295" i="7"/>
  <c r="G296" i="7"/>
  <c r="G297" i="7"/>
  <c r="G298" i="7"/>
  <c r="G302" i="7"/>
  <c r="G300" i="7"/>
  <c r="G303" i="7"/>
  <c r="G305" i="7"/>
  <c r="G304" i="7"/>
  <c r="G299" i="7"/>
  <c r="G301" i="7"/>
  <c r="G306" i="7"/>
  <c r="G307" i="7"/>
  <c r="G308" i="7"/>
  <c r="G309" i="7"/>
  <c r="G310" i="7"/>
  <c r="G311" i="7"/>
  <c r="G312" i="7"/>
  <c r="G313" i="7"/>
  <c r="G314" i="7"/>
  <c r="G315" i="7"/>
  <c r="G316" i="7"/>
  <c r="G317" i="7"/>
  <c r="G318" i="7"/>
  <c r="G319" i="7"/>
  <c r="G320" i="7"/>
  <c r="G321" i="7"/>
  <c r="G322" i="7"/>
  <c r="G323" i="7"/>
  <c r="G324" i="7"/>
  <c r="G327" i="7"/>
  <c r="G325" i="7"/>
  <c r="G326" i="7"/>
  <c r="G328" i="7"/>
  <c r="G329" i="7"/>
  <c r="G330" i="7"/>
  <c r="G331" i="7"/>
  <c r="G333" i="7"/>
  <c r="G332" i="7"/>
  <c r="G334" i="7"/>
  <c r="G335" i="7"/>
  <c r="G336" i="7"/>
  <c r="G337" i="7"/>
  <c r="G345" i="7"/>
  <c r="G346" i="7"/>
  <c r="G343" i="7"/>
  <c r="G347" i="7"/>
  <c r="G348" i="7"/>
  <c r="G341" i="7"/>
  <c r="G338" i="7"/>
  <c r="G349" i="7"/>
  <c r="G350" i="7"/>
  <c r="G344" i="7"/>
  <c r="G339" i="7"/>
  <c r="G351" i="7"/>
  <c r="G342" i="7"/>
  <c r="G340" i="7"/>
  <c r="G352" i="7"/>
  <c r="G353" i="7"/>
  <c r="G354" i="7"/>
  <c r="G355" i="7"/>
  <c r="G356" i="7"/>
  <c r="G357" i="7"/>
  <c r="G358" i="7"/>
  <c r="G359" i="7"/>
  <c r="G360" i="7"/>
  <c r="D110" i="4"/>
</calcChain>
</file>

<file path=xl/comments1.xml><?xml version="1.0" encoding="utf-8"?>
<comments xmlns="http://schemas.openxmlformats.org/spreadsheetml/2006/main">
  <authors>
    <author>pedro.veiga</author>
  </authors>
  <commentList>
    <comment ref="G1" authorId="0">
      <text>
        <r>
          <rPr>
            <b/>
            <sz val="9"/>
            <color indexed="81"/>
            <rFont val="Tahoma"/>
            <family val="2"/>
          </rPr>
          <t>pedro.veiga:</t>
        </r>
        <r>
          <rPr>
            <sz val="9"/>
            <color indexed="81"/>
            <rFont val="Tahoma"/>
            <family val="2"/>
          </rPr>
          <t xml:space="preserve">
</t>
        </r>
        <r>
          <rPr>
            <b/>
            <sz val="9"/>
            <color indexed="81"/>
            <rFont val="Tahoma"/>
            <family val="2"/>
          </rPr>
          <t>Category A</t>
        </r>
        <r>
          <rPr>
            <sz val="9"/>
            <color indexed="81"/>
            <rFont val="Tahoma"/>
            <family val="2"/>
          </rPr>
          <t xml:space="preserve"> - All scores ≥ 8
</t>
        </r>
        <r>
          <rPr>
            <b/>
            <sz val="9"/>
            <color indexed="81"/>
            <rFont val="Tahoma"/>
            <family val="2"/>
          </rPr>
          <t>Category B</t>
        </r>
        <r>
          <rPr>
            <sz val="9"/>
            <color indexed="81"/>
            <rFont val="Tahoma"/>
            <family val="2"/>
          </rPr>
          <t xml:space="preserve"> - All scores ≥ 6
</t>
        </r>
        <r>
          <rPr>
            <b/>
            <sz val="9"/>
            <color indexed="81"/>
            <rFont val="Tahoma"/>
            <family val="2"/>
          </rPr>
          <t>Category C</t>
        </r>
        <r>
          <rPr>
            <sz val="9"/>
            <color indexed="81"/>
            <rFont val="Tahoma"/>
            <family val="2"/>
          </rPr>
          <t xml:space="preserve"> - One or more scores &lt; 6</t>
        </r>
      </text>
    </comment>
  </commentList>
</comments>
</file>

<file path=xl/comments2.xml><?xml version="1.0" encoding="utf-8"?>
<comments xmlns="http://schemas.openxmlformats.org/spreadsheetml/2006/main">
  <authors>
    <author>Nicole Portley</author>
  </authors>
  <commentList>
    <comment ref="I6" authorId="0">
      <text>
        <r>
          <rPr>
            <b/>
            <sz val="9"/>
            <color indexed="81"/>
            <rFont val="Calibri"/>
            <family val="2"/>
          </rPr>
          <t>Nicole Portley:</t>
        </r>
        <r>
          <rPr>
            <sz val="9"/>
            <color indexed="81"/>
            <rFont val="Calibri"/>
            <family val="2"/>
          </rPr>
          <t xml:space="preserve">
All Pacific harvest of Mexican shrimp from FAO.</t>
        </r>
      </text>
    </comment>
    <comment ref="L7" authorId="0">
      <text>
        <r>
          <rPr>
            <b/>
            <sz val="9"/>
            <color indexed="81"/>
            <rFont val="Calibri"/>
            <family val="2"/>
          </rPr>
          <t>Nicole Portley:</t>
        </r>
        <r>
          <rPr>
            <sz val="9"/>
            <color indexed="81"/>
            <rFont val="Calibri"/>
            <family val="2"/>
          </rPr>
          <t xml:space="preserve">
2010 data only—harvest data for 2010 is not available in FAO.</t>
        </r>
      </text>
    </comment>
  </commentList>
</comments>
</file>

<file path=xl/comments3.xml><?xml version="1.0" encoding="utf-8"?>
<comments xmlns="http://schemas.openxmlformats.org/spreadsheetml/2006/main">
  <authors>
    <author>Nicole Portley</author>
  </authors>
  <commentList>
    <comment ref="C5" authorId="0">
      <text>
        <r>
          <rPr>
            <b/>
            <sz val="9"/>
            <color indexed="81"/>
            <rFont val="Calibri"/>
            <family val="2"/>
          </rPr>
          <t>Nicole Portley:</t>
        </r>
        <r>
          <rPr>
            <sz val="9"/>
            <color indexed="81"/>
            <rFont val="Calibri"/>
            <family val="2"/>
          </rPr>
          <t xml:space="preserve">
Data from MSC audit #2: http://www.msc.org/track-a-fishery/fisheries-in-the-program/certified/north-west-atlantic/scotian-shelf-shrimp/assessment-downloads-1/20130702_SR_SHR206.pdf
 </t>
        </r>
      </text>
    </comment>
    <comment ref="I5" authorId="0">
      <text>
        <r>
          <rPr>
            <sz val="9"/>
            <color indexed="81"/>
            <rFont val="Calibri"/>
            <family val="2"/>
          </rPr>
          <t>Harvest data from: http://www.asmfc.org/uploads/file/2012NorthernShrimpAssessment.pdf</t>
        </r>
      </text>
    </comment>
  </commentList>
</comments>
</file>

<file path=xl/comments4.xml><?xml version="1.0" encoding="utf-8"?>
<comments xmlns="http://schemas.openxmlformats.org/spreadsheetml/2006/main">
  <authors>
    <author>Nicole Portley</author>
  </authors>
  <commentList>
    <comment ref="C12" authorId="0">
      <text>
        <r>
          <rPr>
            <b/>
            <sz val="9"/>
            <color indexed="81"/>
            <rFont val="Calibri"/>
            <family val="2"/>
          </rPr>
          <t>Nicole Portley:</t>
        </r>
        <r>
          <rPr>
            <sz val="9"/>
            <color indexed="81"/>
            <rFont val="Calibri"/>
            <family val="2"/>
          </rPr>
          <t xml:space="preserve">
Catch data from 2013 MSC re-assessment (in pounds).</t>
        </r>
      </text>
    </comment>
    <comment ref="C13" authorId="0">
      <text>
        <r>
          <rPr>
            <b/>
            <sz val="9"/>
            <color indexed="81"/>
            <rFont val="Calibri"/>
            <family val="2"/>
          </rPr>
          <t>Nicole Portley:</t>
        </r>
        <r>
          <rPr>
            <sz val="9"/>
            <color indexed="81"/>
            <rFont val="Calibri"/>
            <family val="2"/>
          </rPr>
          <t xml:space="preserve">
Harvest info from MSC audit #2 (2013).</t>
        </r>
      </text>
    </comment>
    <comment ref="H13" authorId="0">
      <text>
        <r>
          <rPr>
            <b/>
            <sz val="9"/>
            <color indexed="81"/>
            <rFont val="Calibri"/>
            <family val="2"/>
          </rPr>
          <t>Nicole Portley:</t>
        </r>
        <r>
          <rPr>
            <sz val="9"/>
            <color indexed="81"/>
            <rFont val="Calibri"/>
            <family val="2"/>
          </rPr>
          <t xml:space="preserve">
All Gulf of California harvest, 2010 and 2011.</t>
        </r>
      </text>
    </comment>
    <comment ref="C14" authorId="0">
      <text>
        <r>
          <rPr>
            <b/>
            <sz val="9"/>
            <color indexed="81"/>
            <rFont val="Calibri"/>
            <family val="2"/>
          </rPr>
          <t>Nicole Portley:</t>
        </r>
        <r>
          <rPr>
            <sz val="9"/>
            <color indexed="81"/>
            <rFont val="Calibri"/>
            <family val="2"/>
          </rPr>
          <t xml:space="preserve">
All Dutch Common shrimp harvest in ICES area 27-4(A-D). Data from "ICESCatchData1992-2011.xls"</t>
        </r>
      </text>
    </comment>
    <comment ref="C15" authorId="0">
      <text>
        <r>
          <rPr>
            <b/>
            <sz val="9"/>
            <color indexed="81"/>
            <rFont val="Calibri"/>
            <family val="2"/>
          </rPr>
          <t>Nicole Portley:</t>
        </r>
        <r>
          <rPr>
            <sz val="9"/>
            <color indexed="81"/>
            <rFont val="Calibri"/>
            <family val="2"/>
          </rPr>
          <t xml:space="preserve">
All German Common shrimp harvest in ICES area 27-4(A-D). Data from "ICESCatchData1992-2011.xls"</t>
        </r>
      </text>
    </comment>
  </commentList>
</comments>
</file>

<file path=xl/sharedStrings.xml><?xml version="1.0" encoding="utf-8"?>
<sst xmlns="http://schemas.openxmlformats.org/spreadsheetml/2006/main" count="2622" uniqueCount="473">
  <si>
    <t>Stock or Fishery name</t>
  </si>
  <si>
    <t>Precautionary harvest control rules</t>
  </si>
  <si>
    <t>Managers compliance</t>
  </si>
  <si>
    <t>Fishers compliance</t>
  </si>
  <si>
    <t>Relative biomass</t>
  </si>
  <si>
    <t>Fishing mortality</t>
  </si>
  <si>
    <t>A-C category (2013)</t>
  </si>
  <si>
    <t>Year of harvest</t>
  </si>
  <si>
    <t>FIP Status</t>
  </si>
  <si>
    <t>n/a</t>
  </si>
  <si>
    <t>-</t>
  </si>
  <si>
    <t>&lt;6</t>
  </si>
  <si>
    <t>≥6</t>
  </si>
  <si>
    <t>C</t>
  </si>
  <si>
    <t>Stage ?</t>
  </si>
  <si>
    <t>≥8</t>
  </si>
  <si>
    <t>B</t>
  </si>
  <si>
    <t>N</t>
  </si>
  <si>
    <t>Stage 4</t>
  </si>
  <si>
    <t>Blue shrimp - Sonora Mexico</t>
  </si>
  <si>
    <t>Blue shrimp - Upper Gulf of California</t>
  </si>
  <si>
    <t>A</t>
  </si>
  <si>
    <t>Indian white prawn - stock unit undefined</t>
  </si>
  <si>
    <t>Stage 5</t>
  </si>
  <si>
    <t>Northern prawn - Atlantic Canada</t>
  </si>
  <si>
    <t>Northern prawn - Barents Sea</t>
  </si>
  <si>
    <t>Northern prawn - Gulf of Maine</t>
  </si>
  <si>
    <t>Northern prawn - Gulf of Maine, traps</t>
  </si>
  <si>
    <t>Northern prawn - Skagerrak and Norwegian deep</t>
  </si>
  <si>
    <t>Northern prawn - West Greenland</t>
  </si>
  <si>
    <t>Northern white shrimp - Northwest Atlantic</t>
  </si>
  <si>
    <t>Atlantic seabob - Atlantic</t>
  </si>
  <si>
    <t>Blue shrimp - Sinaloa Nayarit</t>
  </si>
  <si>
    <t>Northern brown shrimp - NW Atlantic</t>
  </si>
  <si>
    <t>1. Draft a fishery research plan that balances stock assessment with ecosystem information.</t>
  </si>
  <si>
    <t>1. Improve enforcement and encourage the use of legal fishing gear to reduce bycatch and environmental damages.</t>
  </si>
  <si>
    <t>Improvement Recommendations to Catchers and Regulators</t>
  </si>
  <si>
    <t>1.  Improve enforcement and encourage fishing gear improvements to reduce bycatch and environmental damages.
2.  Restrict areas that are sensitive to bottom trawling.</t>
  </si>
  <si>
    <t>1. Implement onboard bycatch data collection 
2. Require use of bycatch reduction devices (BRDs) 
3. Enforce tow time limits.</t>
  </si>
  <si>
    <t>1. Create a Louisiana shrimp fishery management plan. 
2. Release state fishery enforcement and compliance information.
3. Reduce bycatch by keeping gear well tuned.
4. Document bycatch reduction device (BRD) and turtle excluder device (TED) use and compliance.
5. State managers should require the use of BRDs and withdraw the TED enforcement ban in Louisiana state waters.</t>
  </si>
  <si>
    <t>1. Continue to monitor and improve TED compliance. 
2. Continue to collect data on discarded bycatch and population effects.</t>
  </si>
  <si>
    <t>1. Encourage managers to decrease TACs in order to reduce exploitation rates to precautionary levels.
2. Encourage managers to follow scientific advice in setting the TACs.
3. Support research into habitat and ecosystem impacts and into a strategy to reduce any potential impacts, as required by MSC for certification.
4. Endorse the definition of an explicit long-term precautionary management strategy.</t>
  </si>
  <si>
    <t>1. Collect data on habitat impacts and risk.
2. Collect data on ecosystem impacts and risk.</t>
  </si>
  <si>
    <t>1. Separate catch data by species. 
2. Study stock structure. 
3. Develop ecosystem-based management due to complex trophic structure and ecosystem importance. 
4. Enforce fishery regulations and control at fishers and institutional level. 
5. Collect systematic data on bycatch to determine the extent of the issue.</t>
  </si>
  <si>
    <t>1. Improve enforcement. 
2. Encourage fishing gear improvements to reduce bycatch and environmental damages. 
3. Restrict areas that are sensitive to bottom trawling.</t>
  </si>
  <si>
    <t>MSC status / conditions</t>
  </si>
  <si>
    <t>C, 1(P1), 3(P2), 2(P3)</t>
  </si>
  <si>
    <t>C, 0(P1), 0(P2), 1(P3)</t>
  </si>
  <si>
    <t>1. Reduce bycatch by keeping gear well tuned.
2. Document bycatch reduction device (BRD) and turtle excluder device (TED) use and compliance.
3. Determine status of most frequently caught bycatch species.</t>
  </si>
  <si>
    <t>C, 0(P1), 3(P2), 1(P3)</t>
  </si>
  <si>
    <t>C, no outstanding conditions</t>
  </si>
  <si>
    <t>C, 0(P1), 2(P2), 0(P3)</t>
  </si>
  <si>
    <t>C, 1(P1), 1(P2), 1(P3)</t>
  </si>
  <si>
    <t>C, 1(P1), 6(P2), 2(P3)</t>
  </si>
  <si>
    <t>FA</t>
  </si>
  <si>
    <t>Blue shrimp - Magdalena Bay, Western Baja, cast nets</t>
  </si>
  <si>
    <t>Atlantic seabob - Guyana, shrimp trawls</t>
  </si>
  <si>
    <t xml:space="preserve">Atlantic seabob - Suriname, otter trawls - MSC certified </t>
  </si>
  <si>
    <t>Brown tiger prawn - North Australia, otter trawls</t>
  </si>
  <si>
    <t>Endeavor Prawn - North Australia, otter trawls</t>
  </si>
  <si>
    <t>Greasyback shrimp - North Australia, otter trawls</t>
  </si>
  <si>
    <t>Green tiger prawn - North Australia, otter trawls</t>
  </si>
  <si>
    <t>Banana prawn - Indonesia, bottom trawls</t>
  </si>
  <si>
    <t>Northern prawn - Icelandic offshore, otter trawls</t>
  </si>
  <si>
    <t>Northern brown shrimp - Georgia coast, otter trawls</t>
  </si>
  <si>
    <t>Northern prawn - Atlantic Canada, Areas 1-7, otter trawls</t>
  </si>
  <si>
    <t>Northern prawn - Atlantic Canada, Areas 13-15, otter trawls</t>
  </si>
  <si>
    <t>Northern prawn - E. Scotian shelf, otter trawls</t>
  </si>
  <si>
    <t>Northern prawn - Gulf of St. Lawrence, Area 8 (Esquiman), bottom trawls</t>
  </si>
  <si>
    <t>Northern prawn - Gulf of Maine, otter trawls</t>
  </si>
  <si>
    <t>Northern prawn - Skagerrak and Norwegian deep, bottom trawls, MSC-fa</t>
  </si>
  <si>
    <t>Northern prawn - Barents Sea, bottom trawls, Faroe Islands fishery</t>
  </si>
  <si>
    <t>Northern prawn - Barents Sea, bottom trawls, Estonian fishery</t>
  </si>
  <si>
    <t>Northern Prawn - Barents Sea, otter trawls, Norwegian fishery</t>
  </si>
  <si>
    <t>Northern prawn - W. Greenland NAFO 1A-1F &amp; 0A, bottom trawls, Canadian fishery</t>
  </si>
  <si>
    <t>Northern white shrimp - Georgia coast, otter trawls</t>
  </si>
  <si>
    <t>Peneaus shrimp nei - South China Sea, bottom trawls</t>
  </si>
  <si>
    <t>Titi shrimp - Ecuador, bottom trawls</t>
  </si>
  <si>
    <t>Yellowleg shrimp - Magdalena Bay Mexico, otter trawls</t>
  </si>
  <si>
    <t>Yellowleg shrimp - Sinaloa Nayarit, bottom trawls</t>
  </si>
  <si>
    <t>Northern prawn - W. Greenland NAFO 1A-1F &amp; 0B, otter trawls, Greenlandic fishery</t>
  </si>
  <si>
    <t>Indian white prawn - Mozambique, shrimp trawls, miscellaneous nets, beach seines</t>
  </si>
  <si>
    <t>Indian white prawn - Madagascar, shrimp trawls, miscellaneous nets, beach seines, traps, fences</t>
  </si>
  <si>
    <t>Northern brown shrimp - North Carolina coast, otter trawls, miscellaneous nets</t>
  </si>
  <si>
    <t>Northern prawn - Gulf of St. Lawrence, Areas 9, 10, and 12, bottom and otter trawls</t>
  </si>
  <si>
    <t>Northern prawn - Flemish cap, shrimp trawls</t>
  </si>
  <si>
    <t>Northern prawn - Skagerrak and Norwegian deep, bottom and otter trawls</t>
  </si>
  <si>
    <t>Northern white shrimp - North Carolina coast, otter trawls, stow nets, and skimmer nets</t>
  </si>
  <si>
    <t>Whiteleg shrimp - Ecuador, otter trawls and miscellaneous nets</t>
  </si>
  <si>
    <t>Yellowleg shrimp - Sonora Mexico, bottom trawls, industrial fishery</t>
  </si>
  <si>
    <t>Yellowleg shrimp - Upper Gulf of California, otter trawls, industrial fishery</t>
  </si>
  <si>
    <t>Whiteleg shrimp - Sinaloa-Nayarit, otter trawls, industrial fishery</t>
  </si>
  <si>
    <t>Blue shrimp - Sonora Mexico, gillnets, artisinal fishery</t>
  </si>
  <si>
    <t>Blue shrimp - Sonora Mexico, otter trawls, industrial fishery</t>
  </si>
  <si>
    <t>Blue shrimp - Upper Gulf of California, driftnets, artisinal fishery</t>
  </si>
  <si>
    <t>Blue shrimp - Upper Gulf of California, otter trawls, industrial fishery</t>
  </si>
  <si>
    <t>Blue shrimp - Sinaloa Nayarit, otter trawls, industrial fishery</t>
  </si>
  <si>
    <t>Blue shrimp - Sinaloa Nayarit, cast nets, artisinal fishery</t>
  </si>
  <si>
    <t>1.  Improve enforcement to combat IUU fishing in the artisinal sector.</t>
  </si>
  <si>
    <t>1. The adequacy of bycatch monitoringy must be assessed.
2. Locations of high-sensitivity habitats and interactions with gear must be identified.
3. Conduct research focused upon the role of the species in the ecosystem.
4. Draft a fishery research plan that balances stock assessment with ecosystem information.</t>
  </si>
  <si>
    <t>1. Improve enforcement. 
2. Encourage the use of fishing gear improvements to reduce bycatch and environmental damages. 
3. Restrict areas that are sensitive to bottom trawling.</t>
  </si>
  <si>
    <t>1. Improve enforcement. 
2. Encourage the use of legal fishing gear to reduce bycatch and environmental damages.</t>
  </si>
  <si>
    <t>Northern brown shrimp - Gulf of Mexico (GOM)</t>
  </si>
  <si>
    <t>Northern brown shrimp  - Alabama GOM coast, shrimp trawls and miscellaneous nets</t>
  </si>
  <si>
    <t>Northern brown shrimp - Florida GOM coast, otter trawls and skimmer nets</t>
  </si>
  <si>
    <t>Northern brown shrimp - Louisiana GOM coast, otter trawls</t>
  </si>
  <si>
    <t>Northern brown shrimp - Mississippi GOM coast, shrimp trawls, miscellaneous nets, beach seines</t>
  </si>
  <si>
    <t>Northern pink shrimp - Gulf of Mexico (GOM)</t>
  </si>
  <si>
    <t>Northern white shrimp - Gulf of Mexico (GOM)</t>
  </si>
  <si>
    <t>Northern white shrimp - Alabama GOM coast, shrimp trawls and miscellaneous nets</t>
  </si>
  <si>
    <t>Northern white shrimp - Louisiana GOM coast, otter trawls</t>
  </si>
  <si>
    <t>Northern white shrimp - Mississippi GOM coast, shrimp trawls, miscellaneous nets, beach seines</t>
  </si>
  <si>
    <t xml:space="preserve">Northern white shrimp - Texas GOM coast, shrimp trawls </t>
  </si>
  <si>
    <t>Northern brown shrimp - Louisiana GOM coast, skimmer trawls</t>
  </si>
  <si>
    <t>Northern white shrimp - Florida GOM coast, otter and skimmer trawls</t>
  </si>
  <si>
    <t>Northern white shrimp - Louisiana GOM coast, skimmer trawls</t>
  </si>
  <si>
    <t>Northern brown shrimp - Texas GOM coast, otter trawls</t>
  </si>
  <si>
    <t>Northern pink shrimp - Florida GOM coast and offshore, otter trawls</t>
  </si>
  <si>
    <t>Northern white shrimp - GOM offshore (federal waters), otter trawls</t>
  </si>
  <si>
    <t>Northern brown shrimp - GOM offshore (federal waters), otter trawls</t>
  </si>
  <si>
    <t>1. Design and implement programs to collect data on harvest, effort, bycatch, and seafloor impacts of the industrial trawl and artisanal fleets. 
2. Limit fishing effort in both the industrial trawl and artisanal fleets and enforce fishing license requirements. 
3. Improve enforcement of all fishery and data collection regulations, especially proper use of Turtle Exclusion Devices at sea.</t>
  </si>
  <si>
    <t>1. Make stock status, information on management effectiveness, and TAC recommendations publicly available.
2. Improve data collection, regulation, and enforcement of the artisanal fishery.
3. Obtain and make public data on Turtle Excluder Device compliance and effectiveness.
4. Implement a monitoring program to quantify and characterize bycatch and protected/endangered/threatened species interactions.
5. Commission a study on the impacts of shrimp trawling on seafloor habitat.</t>
  </si>
  <si>
    <t>1. Conduct stock assessments on a regular basis.
2. Improve management of the traditional sector. 
3. Assess status of main bycatch species, especially those that are retained for sale or consumption.
4. Commission a study on the impacts of shrimp trawling on seafloor habitat.</t>
  </si>
  <si>
    <t>1. Support research to define the stock status of Indonesian shrimp. Initial steps should be taken to work with experts from local universities and other organizations to study the shrimp population in some priority areas and to develop a conservation strategy.
2. Urge the Ministry of Marine Affairs and Fisheries to require Vessel Monitoring Systems use on all vessels and mandatory catch reporting. The initiative to reduce illegal fishing practices should be continued and intensified, and should simultaneously be used to collect  initial stock assessment data.
3. Encourage the use of more environmentally friendly fishing gears (e.g., larger minimum mesh requirement and more appropriate Bycatch Reduction Devices), stricter enforcement of bans on trawling in inshore areas, increased use of mother ships for bycatch collection at sea, and reduced fishing effort.</t>
  </si>
  <si>
    <t>1. Reduce bycatch by keeping gear well tuned and have Turtle Exclusion Devices (TEDs) and Bycatch Reducation Devices (BRDs) inspected by a qualified expert at least one a year. Document these inspections to record compliance with BRD and TED regulations.
2. Determine status of most frequently caught bycatch species.
3. Catchers and regulators in Louisiana should also refer to the specific fishery-based profiles for otter trawls and skimmer/butterfly/pusher trawls for more specific improvement recommendations.</t>
  </si>
  <si>
    <t>1. Reduce bycatch by keeping gear well tuned and have Turtle Exclusion Devices (TEDs) and Bycatch Reducation Devices (BRDs) inspected by a qualified expert at least one a year. Document these inspections to record compliance with BRD and TED regulations.
2. Determine status of most frequently caught bycatch species.</t>
  </si>
  <si>
    <t>1. Start a Mississippi shrimp Fishery Improvement Project. 
2. Reduce bycatch by keeping gear well tuned and have Turtle Excluder Devices (TEDs)  and Bycatch Reducation Devices (BRDs) inspected by a qualified expert at least one a year. Document these inspections to record compliance with BRD and TED regulations.
Determine status of most frequently caught bycatch species.</t>
  </si>
  <si>
    <t>1. Implement a data collection program to evaluate stock status and impacts of the fishery upon other species and habitat.
2. Design and implement a long-term, transparent, science-based fishery management strategy.
3. Evaluate fishing gear selectivity to determine if size-selective and low-bycatch fishing gear is needed.</t>
  </si>
  <si>
    <t>1. Improve Turtle Excluder Device (TED) compliance by conducting regular, third-party gear inspections to ensure the TED is properly installed and tuned for peak performance. 
2. Experiment with other certified Bycatch Reducative Devices (BRDs) that may have higher bycatch exclusion rates.
3. Include the BRD in gear inspections to ensure it is operating at peak performance and maximizing bycatch exclusion.
4. Determine status of most frequently caught bycatch species.
5. Improve existing or implement new bycatch characterization and habitat impact studies.</t>
  </si>
  <si>
    <t>Pacific seabob - Ecuador, bottom trawls</t>
  </si>
  <si>
    <t>Banana Prawn (white) - North Australia, otter trawls</t>
  </si>
  <si>
    <t>Banana prawn (Indian red-legged) - North Australia, otter trawls</t>
  </si>
  <si>
    <t>2011-2012 quota year</t>
  </si>
  <si>
    <t>"A" FISHERIES</t>
  </si>
  <si>
    <t>"B" FISHERIES</t>
  </si>
  <si>
    <t>"C" FISHERIES</t>
  </si>
  <si>
    <t>Volume</t>
  </si>
  <si>
    <t>Percent of Total Harvest of Species</t>
  </si>
  <si>
    <t>Fishery</t>
  </si>
  <si>
    <t>Volume ('000t)</t>
  </si>
  <si>
    <t>DATA DEFICIENT FISHERIES</t>
  </si>
  <si>
    <t>TOTAL</t>
  </si>
  <si>
    <t xml:space="preserve">TOTAL: </t>
  </si>
  <si>
    <t>TOTAL:</t>
  </si>
  <si>
    <t>No.</t>
  </si>
  <si>
    <t>Country</t>
  </si>
  <si>
    <t>Region</t>
  </si>
  <si>
    <t>Avg Harvest, 2010-2011</t>
  </si>
  <si>
    <t>China</t>
  </si>
  <si>
    <t>Asia</t>
  </si>
  <si>
    <t>India</t>
  </si>
  <si>
    <t>Indonesia</t>
  </si>
  <si>
    <t>Canada</t>
  </si>
  <si>
    <t>North America</t>
  </si>
  <si>
    <t>Vietnam</t>
  </si>
  <si>
    <t>United States</t>
  </si>
  <si>
    <t>Greenland</t>
  </si>
  <si>
    <t>Europe</t>
  </si>
  <si>
    <t>Malaysia</t>
  </si>
  <si>
    <t>Argentina</t>
  </si>
  <si>
    <t>South America</t>
  </si>
  <si>
    <t>Mexico</t>
  </si>
  <si>
    <t>Thailand</t>
  </si>
  <si>
    <t>Philippines</t>
  </si>
  <si>
    <t>Brazil</t>
  </si>
  <si>
    <t>Myanmar</t>
  </si>
  <si>
    <t>Korea</t>
  </si>
  <si>
    <t>Peru</t>
  </si>
  <si>
    <t>Norway</t>
  </si>
  <si>
    <t>Australia</t>
  </si>
  <si>
    <t>Oceana</t>
  </si>
  <si>
    <t>Pakistan</t>
  </si>
  <si>
    <t>Nigeria</t>
  </si>
  <si>
    <t>Africa</t>
  </si>
  <si>
    <t>Guyana</t>
  </si>
  <si>
    <t>Netherlands</t>
  </si>
  <si>
    <t>Germany</t>
  </si>
  <si>
    <t>Japan</t>
  </si>
  <si>
    <t>Italy</t>
  </si>
  <si>
    <t>Cameroon</t>
  </si>
  <si>
    <t>Mozambique</t>
  </si>
  <si>
    <t>Egypt</t>
  </si>
  <si>
    <t>Taiwan</t>
  </si>
  <si>
    <t>Estonia</t>
  </si>
  <si>
    <t>Denmark</t>
  </si>
  <si>
    <t>Russia</t>
  </si>
  <si>
    <t>Morocco</t>
  </si>
  <si>
    <t>Saudi Arabia</t>
  </si>
  <si>
    <t>Middle East</t>
  </si>
  <si>
    <t>Iceland</t>
  </si>
  <si>
    <t>Suriname</t>
  </si>
  <si>
    <t>Cambodia</t>
  </si>
  <si>
    <t xml:space="preserve">Ecuador </t>
  </si>
  <si>
    <t>Central America</t>
  </si>
  <si>
    <t>Spain</t>
  </si>
  <si>
    <t>Iran</t>
  </si>
  <si>
    <t>Faroe Islands</t>
  </si>
  <si>
    <t>Madagascar</t>
  </si>
  <si>
    <t>Turkey</t>
  </si>
  <si>
    <t>Chile</t>
  </si>
  <si>
    <t>Tunisia</t>
  </si>
  <si>
    <t>Bahrain</t>
  </si>
  <si>
    <t>U.K</t>
  </si>
  <si>
    <t>Panama</t>
  </si>
  <si>
    <t>Greece</t>
  </si>
  <si>
    <t>Senegal</t>
  </si>
  <si>
    <t>Nicaragua</t>
  </si>
  <si>
    <t>Honduras</t>
  </si>
  <si>
    <t>Columbia</t>
  </si>
  <si>
    <t>Costa Rica</t>
  </si>
  <si>
    <t>Portugal</t>
  </si>
  <si>
    <t>Algeria</t>
  </si>
  <si>
    <t>Gambia</t>
  </si>
  <si>
    <t>Guatemala</t>
  </si>
  <si>
    <t>Kuwait</t>
  </si>
  <si>
    <t>Sweden</t>
  </si>
  <si>
    <t>Tanzania</t>
  </si>
  <si>
    <t>Belgium</t>
  </si>
  <si>
    <t>Ghana</t>
  </si>
  <si>
    <t>French Guinea</t>
  </si>
  <si>
    <t>Benin</t>
  </si>
  <si>
    <t>Congo</t>
  </si>
  <si>
    <t>Sierra Leone</t>
  </si>
  <si>
    <t>Lithuania</t>
  </si>
  <si>
    <t>Yemen</t>
  </si>
  <si>
    <t>Oman</t>
  </si>
  <si>
    <t>Trinidad and Tobago</t>
  </si>
  <si>
    <t>Papua New Guinea</t>
  </si>
  <si>
    <t>France</t>
  </si>
  <si>
    <t>Latvia</t>
  </si>
  <si>
    <t>El Salvador</t>
  </si>
  <si>
    <t>Cuba</t>
  </si>
  <si>
    <t>Libya</t>
  </si>
  <si>
    <t>Angola</t>
  </si>
  <si>
    <t>Mauritania</t>
  </si>
  <si>
    <t>Israel</t>
  </si>
  <si>
    <t>Kenya</t>
  </si>
  <si>
    <t>Albania</t>
  </si>
  <si>
    <t>Eritrea</t>
  </si>
  <si>
    <t>Venezuela</t>
  </si>
  <si>
    <t>Singapore</t>
  </si>
  <si>
    <t>Croatia</t>
  </si>
  <si>
    <t>Ivory Coast</t>
  </si>
  <si>
    <t>Ireland</t>
  </si>
  <si>
    <t>Palestine</t>
  </si>
  <si>
    <t>South Africa</t>
  </si>
  <si>
    <t>Dominican Republic</t>
  </si>
  <si>
    <t>Gabon</t>
  </si>
  <si>
    <t>Haiti</t>
  </si>
  <si>
    <t>Malta</t>
  </si>
  <si>
    <t>Guinea-Bissau</t>
  </si>
  <si>
    <t>Liberia</t>
  </si>
  <si>
    <t>Ukraine</t>
  </si>
  <si>
    <t>Iraq</t>
  </si>
  <si>
    <t>Timor</t>
  </si>
  <si>
    <t>Solomon Islands</t>
  </si>
  <si>
    <t>New Zealand</t>
  </si>
  <si>
    <t>Reunion</t>
  </si>
  <si>
    <t>Belize</t>
  </si>
  <si>
    <t>Togo</t>
  </si>
  <si>
    <t>Indian Ocean, Western</t>
  </si>
  <si>
    <t>Penaeus shrimps nei</t>
  </si>
  <si>
    <t>Pacific, Western Central</t>
  </si>
  <si>
    <t>Natantian decapods nei</t>
  </si>
  <si>
    <t>Viet Nam</t>
  </si>
  <si>
    <t>Asia - Inland waters</t>
  </si>
  <si>
    <t>Atlantic, Western Central</t>
  </si>
  <si>
    <t>Venezuela, Boliv Rep of</t>
  </si>
  <si>
    <t>...</t>
  </si>
  <si>
    <t>Atlantic, Eastern Central</t>
  </si>
  <si>
    <t>Atlantic, Southwest</t>
  </si>
  <si>
    <t>Argentine red shrimp</t>
  </si>
  <si>
    <t>Atlantic, Northwest</t>
  </si>
  <si>
    <t>Rock shrimp</t>
  </si>
  <si>
    <t>United States of America</t>
  </si>
  <si>
    <t>Redspotted shrimp</t>
  </si>
  <si>
    <t>Northern white shrimp</t>
  </si>
  <si>
    <t>Northern brown shrimp</t>
  </si>
  <si>
    <t>Pacific, Northeast</t>
  </si>
  <si>
    <t>Ocean shrimp</t>
  </si>
  <si>
    <t>Northern prawn</t>
  </si>
  <si>
    <t>Northern pink shrimp</t>
  </si>
  <si>
    <t>Royal red shrimp</t>
  </si>
  <si>
    <t>Atlantic seabob</t>
  </si>
  <si>
    <t>Spot shrimp</t>
  </si>
  <si>
    <t>Pacific, Eastern Central</t>
  </si>
  <si>
    <t>Pacific rock shrimp</t>
  </si>
  <si>
    <t>Crangonid shrimps nei</t>
  </si>
  <si>
    <t>United Kingdom</t>
  </si>
  <si>
    <t>Atlantic, Northeast</t>
  </si>
  <si>
    <t>Common shrimp</t>
  </si>
  <si>
    <t>Pandalus shrimps nei</t>
  </si>
  <si>
    <t>Common prawn</t>
  </si>
  <si>
    <t>Deep-water rose shrimp</t>
  </si>
  <si>
    <t>Mediterranean and Black Sea</t>
  </si>
  <si>
    <t>Pacific, Northwest</t>
  </si>
  <si>
    <t>Baltic prawn</t>
  </si>
  <si>
    <t>Caramote prawn</t>
  </si>
  <si>
    <t>Speckled shrimp</t>
  </si>
  <si>
    <t>Blue and red shrimp</t>
  </si>
  <si>
    <t>Indian Ocean, Eastern</t>
  </si>
  <si>
    <t>Timor-Leste</t>
  </si>
  <si>
    <t>Metapenaeus shrimps nei</t>
  </si>
  <si>
    <t>Sergestid shrimps nei</t>
  </si>
  <si>
    <t>Banana prawn</t>
  </si>
  <si>
    <t>Giant tiger prawn</t>
  </si>
  <si>
    <t>Green tiger prawn</t>
  </si>
  <si>
    <t>Western king prawn</t>
  </si>
  <si>
    <t>Tanzania, United Rep. of</t>
  </si>
  <si>
    <t>Taiwan Province of China</t>
  </si>
  <si>
    <t>Kuruma prawn</t>
  </si>
  <si>
    <t>Southern rough shrimp</t>
  </si>
  <si>
    <t>Redtail prawn</t>
  </si>
  <si>
    <t>Whitebelly prawn</t>
  </si>
  <si>
    <t>Southern brown shrimp</t>
  </si>
  <si>
    <t>St. Pierre and Miquelon</t>
  </si>
  <si>
    <t>Southern pink shrimp</t>
  </si>
  <si>
    <t>Guinea shrimp</t>
  </si>
  <si>
    <t>Atlantic, Southeast</t>
  </si>
  <si>
    <t>Scarlet shrimp</t>
  </si>
  <si>
    <t>Indian white prawn</t>
  </si>
  <si>
    <t>Giant red shrimp</t>
  </si>
  <si>
    <t>Striped red shrimp</t>
  </si>
  <si>
    <t>Knife shrimp</t>
  </si>
  <si>
    <t>Africa - Inland waters</t>
  </si>
  <si>
    <t>RŽunion</t>
  </si>
  <si>
    <t>Russian Federation</t>
  </si>
  <si>
    <t>Coonstripe shrimp</t>
  </si>
  <si>
    <t>Hokkai shrimp</t>
  </si>
  <si>
    <t>Humpy shrimp</t>
  </si>
  <si>
    <t>Morotoge shrimp</t>
  </si>
  <si>
    <t>Sculptured shrimps nei</t>
  </si>
  <si>
    <t>Palaemonid shrimps nei</t>
  </si>
  <si>
    <t>Endeavour shrimp</t>
  </si>
  <si>
    <t>Pacific, Southeast</t>
  </si>
  <si>
    <t>Crystal shrimp</t>
  </si>
  <si>
    <t>Pacific seabobs</t>
  </si>
  <si>
    <t>Palestine, Occupied Tr.</t>
  </si>
  <si>
    <t>Parapenaeopsis shrimps nei</t>
  </si>
  <si>
    <t>Pacific, Southwest</t>
  </si>
  <si>
    <t>Tsivakihini paste shrimp</t>
  </si>
  <si>
    <t>Blue shrimp</t>
  </si>
  <si>
    <t>Yellowleg shrimp</t>
  </si>
  <si>
    <t>Whiteleg shrimp</t>
  </si>
  <si>
    <t>Golden shrimp</t>
  </si>
  <si>
    <t>Korea, Republic of</t>
  </si>
  <si>
    <t>Akiami paste shrimp</t>
  </si>
  <si>
    <t>Shiba shrimp</t>
  </si>
  <si>
    <t>Fleshy prawn</t>
  </si>
  <si>
    <t>Aristeid shrimps nei</t>
  </si>
  <si>
    <t>Iran (Islamic Rep. of)</t>
  </si>
  <si>
    <t>Aesop shrimp</t>
  </si>
  <si>
    <t>French Guiana</t>
  </si>
  <si>
    <t>Delta prawn</t>
  </si>
  <si>
    <t>Titi shrimp</t>
  </si>
  <si>
    <t>Ecuador</t>
  </si>
  <si>
    <t>Western white shrimp</t>
  </si>
  <si>
    <t>Cyprus</t>
  </si>
  <si>
    <t>C™te d'Ivoire</t>
  </si>
  <si>
    <t>Congo, Republic of</t>
  </si>
  <si>
    <t>Colombia</t>
  </si>
  <si>
    <t>Pacific seabob</t>
  </si>
  <si>
    <t>Kolibri shrimp</t>
  </si>
  <si>
    <t>China, Macao SAR</t>
  </si>
  <si>
    <t>China, Hong Kong SAR</t>
  </si>
  <si>
    <t>Chilean nylon shrimp</t>
  </si>
  <si>
    <t>Chilean knife shrimp</t>
  </si>
  <si>
    <t>West African estuarine prawn</t>
  </si>
  <si>
    <t>Southern white shrimp</t>
  </si>
  <si>
    <t>Argentine stiletto shrimp</t>
  </si>
  <si>
    <t>Average 2010-2011</t>
  </si>
  <si>
    <t>Fishing area (FAO major fishing area)</t>
  </si>
  <si>
    <t>Species (ASFIS species)</t>
  </si>
  <si>
    <t>Country (Country)</t>
  </si>
  <si>
    <t>Classification</t>
  </si>
  <si>
    <t>paste shrimp</t>
  </si>
  <si>
    <t>cold water shrimp</t>
  </si>
  <si>
    <t>warm water shrimp</t>
  </si>
  <si>
    <t>warm water:</t>
  </si>
  <si>
    <t>cold water:</t>
  </si>
  <si>
    <t>paste shrimp:</t>
  </si>
  <si>
    <t>2010-2011 Avg, Total:</t>
  </si>
  <si>
    <t>Category</t>
  </si>
  <si>
    <t>Status</t>
  </si>
  <si>
    <t>MSC-FA</t>
  </si>
  <si>
    <t>MSC-C</t>
  </si>
  <si>
    <t>COLDWATER FISHERIES IN THE MSC PROGRAM</t>
  </si>
  <si>
    <t>WARMWATER FISHERIES IN THE MSC PROGRAM OR A FIP</t>
  </si>
  <si>
    <t>FIP</t>
  </si>
  <si>
    <t>PERCENT OF TOTAL COLDWATER HARVEST:</t>
  </si>
  <si>
    <t>Proportion MSC certified:</t>
  </si>
  <si>
    <t>Proportion in full assessment:</t>
  </si>
  <si>
    <t>PERCENT OF TOTAL WARMWATER HARVEST:</t>
  </si>
  <si>
    <t>Proportion in a FIP:</t>
  </si>
  <si>
    <t>Warm-water A</t>
  </si>
  <si>
    <t>Warm-water B</t>
  </si>
  <si>
    <t>Warm-water C</t>
  </si>
  <si>
    <t>Warm-water DD</t>
  </si>
  <si>
    <t>Cold-water A</t>
  </si>
  <si>
    <t>Cold-water B</t>
  </si>
  <si>
    <t>Cold-water C</t>
  </si>
  <si>
    <t>None</t>
  </si>
  <si>
    <t>Paste shrimp</t>
  </si>
  <si>
    <t>Cold-water shrimp</t>
  </si>
  <si>
    <t>Warm-water shrimp</t>
  </si>
  <si>
    <t>94 Others</t>
  </si>
  <si>
    <t>Closed Conditions</t>
  </si>
  <si>
    <t>Pink shrimp - Oregon (no FS profile)</t>
  </si>
  <si>
    <t>Western king prawn - Spencer Gulf, Australia, otter trawls (no FS profile)</t>
  </si>
  <si>
    <t>Common shrimp - North Sea, Dutch fishery, otter trawls (no FS profile)</t>
  </si>
  <si>
    <t>Common shrimp - North Sea, German fishery, shrimp trawls (no FS profile)</t>
  </si>
  <si>
    <t>Percent of Total</t>
  </si>
  <si>
    <t>Spencer Gulf, Aus king prawn (2011)</t>
  </si>
  <si>
    <t>W. Greenland prawn (2013)</t>
  </si>
  <si>
    <t>Oregon pink (2013)</t>
  </si>
  <si>
    <t>N. Aus prawn (2012)</t>
  </si>
  <si>
    <t>Norwegian arctic prawn (2012)</t>
  </si>
  <si>
    <t>Canada prawn &amp; striped shrimp (2012)</t>
  </si>
  <si>
    <t>Suriname seabob (2011)</t>
  </si>
  <si>
    <t>Scotian Shelf prawn #2 (2011)</t>
  </si>
  <si>
    <t>Gulf of St. Lawrence-Esquiman prawn (2009)</t>
  </si>
  <si>
    <t>Scotian Shelf prawn #1 (2008)</t>
  </si>
  <si>
    <t>Gulf of St. Lawrence prawn (2008)</t>
  </si>
  <si>
    <t>Percent of Fisheries in FS</t>
  </si>
  <si>
    <t>Oregon pink (2007)</t>
  </si>
  <si>
    <t>1. Support continuation of data collection on the fishery impacts, as recommended by MSC. 
2. Encourage analysis of bycatch data obtained through increased at-sea observations.</t>
  </si>
  <si>
    <t xml:space="preserve">1. Increase at-sea observer coverage to improve data collection on rays.
2. Precautionary input and output control measures need to be adopted and implemented. 
3. Monitoring of landings and effort in the artisinal fishery needs to be improved.
4. IUU fishing needs to be quantified. </t>
  </si>
  <si>
    <t>Total</t>
  </si>
  <si>
    <t>Percents</t>
  </si>
  <si>
    <t>1. Start a Florida shrimp Fishery Improvement Project. 
2. Reduce bycatch by keeping gear well tuned and have Turtle Excluder Devices (TEDs)  and Bycatch Reducation Devices (BRDs) inspected by a qualified expert at least one a year. Document these inspections to record compliance with BRD and TED regulations.
3. Determine status of most frequently caught bycatch species.</t>
  </si>
  <si>
    <t>Northern pink shrimp - NW Atlantic</t>
  </si>
  <si>
    <t>Northern pink shrimp - North Carolina coast, otter trawls, miscellaneous nets</t>
  </si>
  <si>
    <t>1. Start an Alabama shrimp Fishery Improvement Project. 
2. Reduce bycatch by keeping gear well tuned and have Turtle Excluder Devices (TEDs)  and Bycatch Reducation Devices (BRDs) inspected by a qualified expert at least one a year. Document these inspections to record compliance with BRD and TED regulations.
3. Determine status of most frequently caught bycatch species.</t>
  </si>
  <si>
    <t>1. Start a Mississippi shrimp Fishery Improvement Project. 
2. Reduce bycatch by keeping gear well tuned and have Turtle Excluder Devices (TEDs)  and Bycatch Reducation Devices (BRDs) inspected by a qualified expert at least one a year. Document these inspections to record compliance with BRD and TED regulations.
3. Determine status of most frequently caught bycatch species.</t>
  </si>
  <si>
    <t>Northern pink shrimp - North Carolina</t>
  </si>
  <si>
    <t>No improvements are suggested at this time.</t>
  </si>
  <si>
    <t>1. Start an Alabama shrimp fishery improvement project. 
2. Reduce bycatch by keeping gear well tuned and have Turtle Excluder Devices (TEDs)  and Bycatch Reducation Devices (BRDs) inspected by a qualified expert at least one a year. Document these inspections to record compliance with BRD and TED regulations.
3. Determine status of most frequently caught bycatch species.</t>
  </si>
  <si>
    <t>Percent of Total Harvest of Warm-Water Shrimp</t>
  </si>
  <si>
    <t>Latest harvest ('000 metric tons)</t>
  </si>
  <si>
    <r>
      <rPr>
        <b/>
        <sz val="12"/>
        <color theme="1"/>
        <rFont val="Calibri"/>
        <family val="2"/>
        <scheme val="minor"/>
      </rPr>
      <t xml:space="preserve">Annex Spreadsheet #2: Volume and category analysis for warm-water shrimp: </t>
    </r>
    <r>
      <rPr>
        <sz val="12"/>
        <color theme="1"/>
        <rFont val="Calibri"/>
        <family val="2"/>
        <scheme val="minor"/>
      </rPr>
      <t>Annual average (of 2010 and 2011 fishing seasons)  harvest volumes ('000s of metric tons) of A, B, and C-ranked warm water shrimp fisheries, as well as Data Deficient warm-water shrimp fisheries, profiled in FishSource are summed, as well as volume that is not currently covered in FishSource.</t>
    </r>
  </si>
  <si>
    <r>
      <t xml:space="preserve">Annex Spreadsheet #3: Volume and category analysis for cold-water shrimp:  </t>
    </r>
    <r>
      <rPr>
        <sz val="12"/>
        <color rgb="FF000000"/>
        <rFont val="Calibri"/>
        <family val="2"/>
        <scheme val="minor"/>
      </rPr>
      <t>Annual average (of 2010 and 2011 fishing seasons)  harvest volumes ('000s of metric tons) of A, B, and C- ranked cold-water shrimp fisheries profiled in FishSource are summed, as well as volume that is not currently covered in FishSource.</t>
    </r>
  </si>
  <si>
    <r>
      <rPr>
        <b/>
        <sz val="12"/>
        <color theme="1"/>
        <rFont val="Calibri"/>
        <family val="2"/>
        <scheme val="minor"/>
      </rPr>
      <t>Annex Spreadsheet #4: MSC-FIP Info:</t>
    </r>
    <r>
      <rPr>
        <sz val="12"/>
        <color theme="1"/>
        <rFont val="Calibri"/>
        <family val="2"/>
        <scheme val="minor"/>
      </rPr>
      <t xml:space="preserve"> Data compiled here indicates the proportions of warm-water, cold-water, and paste shrimp global harvest that are engaged in the MSC program or in a Fishery Improvement Process (all statistics are presented as averages of the 2010 and 2011 fishing seasons, in units of thousands of metric tons).</t>
    </r>
  </si>
  <si>
    <r>
      <t>Annex Spreadsheet #6: FAO (1):</t>
    </r>
    <r>
      <rPr>
        <sz val="11"/>
        <color theme="1"/>
        <rFont val="Arial"/>
        <family val="2"/>
      </rPr>
      <t xml:space="preserve"> This spreadsheet presents data taken from FishStat J to calculate global volumes of warm-water, cold-water, and paste shrimp fisheries. The dataset includes all FishStat J entries classified as “shrimp and prawns” according to </t>
    </r>
    <r>
      <rPr>
        <sz val="11"/>
        <color rgb="FF343434"/>
        <rFont val="Arial"/>
        <family val="2"/>
      </rPr>
      <t>ISSCAAP for which there was reported harvest in either 2010 or 2011, or in both years. Harvest data is presented in units of metric tons.</t>
    </r>
  </si>
  <si>
    <r>
      <t xml:space="preserve"> Annex Spreadsheet #7: FAO (2):</t>
    </r>
    <r>
      <rPr>
        <sz val="11"/>
        <color theme="1"/>
        <rFont val="Arial"/>
        <family val="2"/>
      </rPr>
      <t xml:space="preserve"> FAO data from the spreadsheet "FAO (1)" (Annex Spreadsheet #6) is presented here by country. Harvest data is presented in units of metric tons.</t>
    </r>
  </si>
  <si>
    <r>
      <t>Annex Spreadsheet #5: MSC Conditions:</t>
    </r>
    <r>
      <rPr>
        <sz val="11"/>
        <color theme="1"/>
        <rFont val="Arial"/>
        <family val="2"/>
      </rPr>
      <t xml:space="preserve"> Performance toward timely closure of conditions as part of 12 shrimp fisheries’ MSC certificates is indicated here.</t>
    </r>
  </si>
  <si>
    <t>Open Conditions: On Schedule</t>
  </si>
  <si>
    <t>Open Conditions: Behind Schedule</t>
  </si>
  <si>
    <t>1. Support cpntinuation of data collection on the fishery impacts, as recommended by MSC. 
2. Encourage analysis of bycatch data obtained through increased at-sea observations.</t>
  </si>
  <si>
    <t>1. Support an evaluation of the ecosystem impact of the fishery (bycatch and seabed sensitive habitats).</t>
  </si>
  <si>
    <t>1. Regulators should develop management objectives and harvest control rules.
2. Fishing nations need to analyze and provide further biological data, collaborate to predict recruitment to the fishable stock, and continue to include recruitment data in assessments. 
3. Regulators should set a TAC.</t>
  </si>
  <si>
    <t>1. Advocate for and support scientific institutions in establishing reference points.
2. Regulators should develop a management plan with a harvest control rule.
3. Regulators should set a TAC.
4. Support the collection of discard data.</t>
  </si>
  <si>
    <t>1. Advocate for and support scientific institutions in establishing reference points and carrying out stock assessments.
2. Regulators should develop a management plan and adopt mandatory sorting grids in all fishing areas (Norwegian and Danish waters).
3. Support the collection of discard data.</t>
  </si>
  <si>
    <t>1. Improved and sustained compliance on both managers’ and fishers’ parts is required to ensure the sustainability of the stock. 
2. Studies of the effects of the fishery on PET species and the benthic habitat should be conducted.</t>
  </si>
  <si>
    <t>same as recommendations for the stock</t>
  </si>
  <si>
    <t>1. An evaluation of the management plan is needed to demonstrate that it is precautionary.
2. Regulators should  follow scientific advice when setting the TAC.
3. Catchers should support a decrease in TAC.</t>
  </si>
  <si>
    <t xml:space="preserve">1. Regulators should develop management objectives and harvest control rules.
2. Impacts of shrimp trawling on sensitive habitats must be assessed, and should significant impacts be identified, immediate action to reduce impact of trawling should be taken.
3. The regulation on obligatory landing of all by-catch needs to be enforced with respect to polar cod. </t>
  </si>
  <si>
    <t>1. Fishery is closed—the fishery closure should be adhered to.
2. Exploration of the relationship between shrimp, cod, and the environment should be continued with the involvement of shrimp experts.</t>
  </si>
  <si>
    <t>Northern prawn - Skagerrak and Norwegian deep, bottom trawls, Norwegian fishery, MSC-fa</t>
  </si>
  <si>
    <t>Northern prawn - Skagerrak and Norwegian deep, bottom trawls, Norwegian fishery</t>
  </si>
  <si>
    <t>Grooved tiger prawn - North Australia, otter trawls</t>
  </si>
  <si>
    <t>Red endeavour prawn - North Australia, otter trawls</t>
  </si>
  <si>
    <t>Blue endeavor prawn - North Australia, otter trawls</t>
  </si>
  <si>
    <t>Indian white prawn - Mozambique, shrimp trawls, miscellaneous nets, beach seines, traps, fence</t>
  </si>
  <si>
    <t>Indian white prawn - Madagascar, shrimp trawls, miscellaneous nets, beach seines</t>
  </si>
  <si>
    <t>Banana prawn (white) - North Australia, otter trawls</t>
  </si>
  <si>
    <t>Red endeavor prawn - North Australia, otter trawls</t>
  </si>
  <si>
    <t>Northern prawn - Atlantic Canada, Areas 2-7, otter trawls</t>
  </si>
  <si>
    <t>Northern prawn - W. Greenland NAFO 1A-1F &amp; 0A (SFA 1), bottom trawls, Canadian fishery</t>
  </si>
  <si>
    <t>C, 1(P1), 6(P2), 1(P3)</t>
  </si>
  <si>
    <t>C, 2(P1), 18(P2), 3(P3)</t>
  </si>
  <si>
    <t>1.  Regulators should  follow scientific advice when setting the TAC.
2. Short and long term management objectives are required. 
3. Studies of the effects of the fishery the benthic habitat should be conducted.
4. A strategic plan to reduce ecosystem impacts should be developed.</t>
  </si>
  <si>
    <t xml:space="preserve">same as recommendations for the stock
</t>
  </si>
  <si>
    <t>1. Scientific advice should be followed in light of the possible temperature regime change that has occurred in the Gulf of Maine.
2. The 2014 fishery moratorium enacted in December 2013 should be kept in place until the Northern Shrimp Technical Committee advises that the fishery can be opened.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</si>
</sst>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409]#,##0.00;[Red]&quot;-&quot;[$$-409]#,##0.00"/>
    <numFmt numFmtId="165" formatCode="[$£-809]#,##0.00;[Red]&quot;-&quot;[$£-809]#,##0.00"/>
    <numFmt numFmtId="166" formatCode="#,##0.00&quot; &quot;[$€-816];[Red]&quot;-&quot;#,##0.00&quot; &quot;[$€-816]"/>
    <numFmt numFmtId="167" formatCode="_(* #,##0_);_(* \(#,##0\);_(* &quot;-&quot;??_);_(@_)"/>
    <numFmt numFmtId="168" formatCode="0.0%"/>
    <numFmt numFmtId="169" formatCode="0.000"/>
  </numFmts>
  <fonts count="37" x14ac:knownFonts="1">
    <font>
      <sz val="12"/>
      <color theme="1"/>
      <name val="Calibri"/>
      <family val="2"/>
      <scheme val="minor"/>
    </font>
    <font>
      <sz val="12"/>
      <color theme="1"/>
      <name val="Calibri"/>
      <family val="2"/>
      <scheme val="minor"/>
    </font>
    <font>
      <b/>
      <sz val="12"/>
      <color theme="1"/>
      <name val="Calibri"/>
      <family val="2"/>
      <scheme val="minor"/>
    </font>
    <font>
      <b/>
      <sz val="12"/>
      <color theme="1"/>
      <name val="Calibri"/>
      <family val="2"/>
    </font>
    <font>
      <sz val="10"/>
      <color theme="1"/>
      <name val="Arial"/>
      <family val="2"/>
    </font>
    <font>
      <b/>
      <sz val="12"/>
      <color indexed="8"/>
      <name val="Calibri"/>
      <family val="2"/>
    </font>
    <font>
      <b/>
      <sz val="12"/>
      <name val="Calibri"/>
      <family val="2"/>
    </font>
    <font>
      <sz val="12"/>
      <color theme="1"/>
      <name val="Calibri"/>
      <family val="2"/>
    </font>
    <font>
      <u/>
      <sz val="12"/>
      <color theme="10"/>
      <name val="Calibri"/>
      <family val="2"/>
      <scheme val="minor"/>
    </font>
    <font>
      <sz val="12"/>
      <color indexed="8"/>
      <name val="Calibri"/>
      <family val="2"/>
    </font>
    <font>
      <sz val="12"/>
      <name val="Calibri"/>
      <family val="2"/>
    </font>
    <font>
      <sz val="12"/>
      <color rgb="FF000000"/>
      <name val="Calibri"/>
      <family val="2"/>
      <scheme val="minor"/>
    </font>
    <font>
      <b/>
      <sz val="12"/>
      <color rgb="FF000000"/>
      <name val="Calibri"/>
      <family val="2"/>
      <scheme val="minor"/>
    </font>
    <font>
      <b/>
      <sz val="9"/>
      <color indexed="81"/>
      <name val="Tahoma"/>
      <family val="2"/>
    </font>
    <font>
      <sz val="9"/>
      <color indexed="81"/>
      <name val="Tahoma"/>
      <family val="2"/>
    </font>
    <font>
      <b/>
      <i/>
      <sz val="16"/>
      <color theme="1"/>
      <name val="Arial1"/>
    </font>
    <font>
      <b/>
      <i/>
      <sz val="16"/>
      <color theme="1"/>
      <name val="Arial"/>
      <family val="2"/>
    </font>
    <font>
      <b/>
      <i/>
      <sz val="16"/>
      <color rgb="FF000000"/>
      <name val="Calibri"/>
      <family val="2"/>
    </font>
    <font>
      <sz val="11"/>
      <color theme="1"/>
      <name val="Arial1"/>
    </font>
    <font>
      <sz val="11"/>
      <color theme="1"/>
      <name val="Arial"/>
      <family val="2"/>
    </font>
    <font>
      <sz val="11"/>
      <color rgb="FF000000"/>
      <name val="Calibri"/>
      <family val="2"/>
    </font>
    <font>
      <b/>
      <i/>
      <u/>
      <sz val="11"/>
      <color theme="1"/>
      <name val="Arial1"/>
    </font>
    <font>
      <b/>
      <i/>
      <u/>
      <sz val="11"/>
      <color theme="1"/>
      <name val="Arial"/>
      <family val="2"/>
    </font>
    <font>
      <b/>
      <i/>
      <u/>
      <sz val="11"/>
      <color rgb="FF000000"/>
      <name val="Calibri"/>
      <family val="2"/>
    </font>
    <font>
      <u/>
      <sz val="12"/>
      <color theme="11"/>
      <name val="Calibri"/>
      <family val="2"/>
      <scheme val="minor"/>
    </font>
    <font>
      <sz val="10"/>
      <name val="Calibri"/>
      <family val="2"/>
    </font>
    <font>
      <b/>
      <sz val="10"/>
      <name val="Calibri"/>
      <family val="2"/>
    </font>
    <font>
      <sz val="9"/>
      <color indexed="81"/>
      <name val="Calibri"/>
      <family val="2"/>
    </font>
    <font>
      <b/>
      <sz val="9"/>
      <color indexed="81"/>
      <name val="Calibri"/>
      <family val="2"/>
    </font>
    <font>
      <b/>
      <sz val="14"/>
      <color theme="1"/>
      <name val="Calibri"/>
      <family val="2"/>
      <scheme val="minor"/>
    </font>
    <font>
      <b/>
      <sz val="10"/>
      <color theme="1"/>
      <name val="Calibri (Body)"/>
    </font>
    <font>
      <sz val="10"/>
      <color theme="1"/>
      <name val="Calibri (Body)"/>
    </font>
    <font>
      <b/>
      <sz val="11"/>
      <color theme="1"/>
      <name val="Arial"/>
      <family val="2"/>
    </font>
    <font>
      <sz val="11"/>
      <color rgb="FF343434"/>
      <name val="Arial"/>
      <family val="2"/>
    </font>
    <font>
      <sz val="12"/>
      <name val="Calibri"/>
      <family val="2"/>
      <scheme val="minor"/>
    </font>
    <font>
      <b/>
      <sz val="12"/>
      <name val="Calibri"/>
      <family val="2"/>
      <scheme val="minor"/>
    </font>
    <font>
      <sz val="8"/>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D600"/>
        <bgColor indexed="64"/>
      </patternFill>
    </fill>
    <fill>
      <patternFill patternType="solid">
        <fgColor rgb="FFFFFF00"/>
        <bgColor rgb="FF000000"/>
      </patternFill>
    </fill>
    <fill>
      <patternFill patternType="solid">
        <fgColor rgb="FFFF0000"/>
        <bgColor rgb="FF000000"/>
      </patternFill>
    </fill>
    <fill>
      <patternFill patternType="solid">
        <fgColor rgb="FF00D600"/>
        <bgColor rgb="FF000000"/>
      </patternFill>
    </fill>
  </fills>
  <borders count="26">
    <border>
      <left/>
      <right/>
      <top/>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right style="thin">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diagonal/>
    </border>
  </borders>
  <cellStyleXfs count="102">
    <xf numFmtId="0" fontId="0" fillId="0" borderId="0"/>
    <xf numFmtId="0" fontId="4" fillId="0" borderId="0"/>
    <xf numFmtId="0" fontId="8" fillId="0" borderId="0" applyNumberFormat="0" applyFill="0" applyBorder="0" applyAlignment="0" applyProtection="0"/>
    <xf numFmtId="0" fontId="15" fillId="0" borderId="0">
      <alignment horizontal="center"/>
    </xf>
    <xf numFmtId="0" fontId="16" fillId="0" borderId="0">
      <alignment horizontal="center"/>
    </xf>
    <xf numFmtId="0" fontId="17" fillId="0" borderId="0">
      <alignment horizontal="center"/>
    </xf>
    <xf numFmtId="0" fontId="15" fillId="0" borderId="0">
      <alignment horizontal="center" textRotation="90"/>
    </xf>
    <xf numFmtId="0" fontId="16" fillId="0" borderId="0">
      <alignment horizontal="center" textRotation="90"/>
    </xf>
    <xf numFmtId="0" fontId="17" fillId="0" borderId="0">
      <alignment horizontal="center" textRotation="90"/>
    </xf>
    <xf numFmtId="0" fontId="4" fillId="0" borderId="0"/>
    <xf numFmtId="0" fontId="18" fillId="0" borderId="0"/>
    <xf numFmtId="0" fontId="19" fillId="0" borderId="0"/>
    <xf numFmtId="0" fontId="20" fillId="0" borderId="0"/>
    <xf numFmtId="0" fontId="21" fillId="0" borderId="0"/>
    <xf numFmtId="0" fontId="22" fillId="0" borderId="0"/>
    <xf numFmtId="0" fontId="23" fillId="0" borderId="0"/>
    <xf numFmtId="164" fontId="21" fillId="0" borderId="0"/>
    <xf numFmtId="165" fontId="22" fillId="0" borderId="0"/>
    <xf numFmtId="166" fontId="21" fillId="0" borderId="0"/>
    <xf numFmtId="165" fontId="23"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237">
    <xf numFmtId="0" fontId="0" fillId="0" borderId="0" xfId="0"/>
    <xf numFmtId="0" fontId="5" fillId="2" borderId="3"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0" fillId="4" borderId="4" xfId="0" applyFill="1" applyBorder="1"/>
    <xf numFmtId="0" fontId="0" fillId="5" borderId="4" xfId="0" applyFill="1" applyBorder="1"/>
    <xf numFmtId="0" fontId="9" fillId="2" borderId="4"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0" fillId="6" borderId="6" xfId="0" applyFill="1" applyBorder="1"/>
    <xf numFmtId="0" fontId="0" fillId="5" borderId="6" xfId="0" applyFill="1" applyBorder="1"/>
    <xf numFmtId="0" fontId="9" fillId="2" borderId="6"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2" fillId="0" borderId="0" xfId="0" applyFont="1"/>
    <xf numFmtId="0" fontId="0" fillId="4" borderId="6" xfId="0" applyFill="1" applyBorder="1"/>
    <xf numFmtId="0" fontId="2" fillId="5" borderId="3" xfId="0" applyFont="1" applyFill="1" applyBorder="1"/>
    <xf numFmtId="0" fontId="2" fillId="4" borderId="3" xfId="0" applyFont="1" applyFill="1" applyBorder="1"/>
    <xf numFmtId="0" fontId="11" fillId="7" borderId="4" xfId="0" applyFont="1" applyFill="1" applyBorder="1"/>
    <xf numFmtId="0" fontId="11" fillId="8" borderId="4" xfId="0" applyFont="1" applyFill="1" applyBorder="1"/>
    <xf numFmtId="0" fontId="11" fillId="7" borderId="6" xfId="0" applyFont="1" applyFill="1" applyBorder="1"/>
    <xf numFmtId="0" fontId="11" fillId="8" borderId="6" xfId="0" applyFont="1" applyFill="1" applyBorder="1"/>
    <xf numFmtId="0" fontId="0" fillId="3" borderId="6" xfId="0" applyFont="1" applyFill="1" applyBorder="1"/>
    <xf numFmtId="0" fontId="0" fillId="6" borderId="6" xfId="0" applyFont="1" applyFill="1" applyBorder="1" applyAlignment="1">
      <alignment horizontal="left"/>
    </xf>
    <xf numFmtId="0" fontId="0" fillId="0" borderId="0" xfId="0" applyFont="1"/>
    <xf numFmtId="0" fontId="0" fillId="5" borderId="6" xfId="0" applyFont="1" applyFill="1" applyBorder="1"/>
    <xf numFmtId="0" fontId="2" fillId="6" borderId="3" xfId="0" applyFont="1" applyFill="1" applyBorder="1"/>
    <xf numFmtId="0" fontId="0" fillId="5" borderId="4" xfId="0" applyFont="1" applyFill="1" applyBorder="1"/>
    <xf numFmtId="0" fontId="0" fillId="6" borderId="4" xfId="0" applyFont="1" applyFill="1" applyBorder="1"/>
    <xf numFmtId="0" fontId="0" fillId="6" borderId="4" xfId="0" applyFont="1" applyFill="1" applyBorder="1" applyAlignment="1">
      <alignment horizontal="left"/>
    </xf>
    <xf numFmtId="0" fontId="2" fillId="6" borderId="3" xfId="0" applyFont="1" applyFill="1" applyBorder="1" applyAlignment="1">
      <alignment horizontal="left"/>
    </xf>
    <xf numFmtId="0" fontId="0" fillId="6" borderId="6" xfId="0" applyFont="1" applyFill="1" applyBorder="1"/>
    <xf numFmtId="0" fontId="11" fillId="9" borderId="6" xfId="0" applyFont="1" applyFill="1" applyBorder="1" applyAlignment="1">
      <alignment horizontal="left"/>
    </xf>
    <xf numFmtId="0" fontId="0" fillId="4" borderId="6" xfId="0" applyFont="1" applyFill="1" applyBorder="1"/>
    <xf numFmtId="0" fontId="0" fillId="4" borderId="4" xfId="0" applyFont="1" applyFill="1" applyBorder="1"/>
    <xf numFmtId="0" fontId="0" fillId="5" borderId="4" xfId="0" applyFont="1" applyFill="1" applyBorder="1" applyAlignment="1">
      <alignment horizontal="left"/>
    </xf>
    <xf numFmtId="0" fontId="2" fillId="0" borderId="2" xfId="0" applyFont="1" applyBorder="1"/>
    <xf numFmtId="0" fontId="5" fillId="2" borderId="9"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2" fillId="5" borderId="9" xfId="0" applyFont="1" applyFill="1" applyBorder="1"/>
    <xf numFmtId="0" fontId="10" fillId="2" borderId="9" xfId="1" applyFont="1" applyFill="1" applyBorder="1" applyAlignment="1">
      <alignment horizontal="center" vertical="center" wrapText="1"/>
    </xf>
    <xf numFmtId="0" fontId="2" fillId="6" borderId="9" xfId="0" applyFont="1" applyFill="1" applyBorder="1"/>
    <xf numFmtId="0" fontId="4" fillId="0" borderId="0" xfId="0" applyFont="1" applyAlignment="1">
      <alignment wrapText="1"/>
    </xf>
    <xf numFmtId="0" fontId="3" fillId="0" borderId="2" xfId="0" applyFont="1" applyBorder="1" applyAlignment="1">
      <alignment horizontal="left"/>
    </xf>
    <xf numFmtId="0" fontId="0" fillId="0" borderId="0" xfId="0" applyAlignment="1">
      <alignment wrapText="1"/>
    </xf>
    <xf numFmtId="0" fontId="2" fillId="0" borderId="3" xfId="0" applyFont="1" applyFill="1" applyBorder="1"/>
    <xf numFmtId="0" fontId="5" fillId="0" borderId="3"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2" fillId="0" borderId="0" xfId="0" applyFont="1" applyAlignment="1">
      <alignment wrapText="1"/>
    </xf>
    <xf numFmtId="0" fontId="2" fillId="0" borderId="9" xfId="0" applyFont="1" applyFill="1" applyBorder="1"/>
    <xf numFmtId="0" fontId="10" fillId="0" borderId="3" xfId="1" applyFont="1" applyFill="1" applyBorder="1" applyAlignment="1">
      <alignment horizontal="center" vertical="center" wrapText="1"/>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7" fillId="0" borderId="6" xfId="0" applyFont="1" applyBorder="1" applyAlignment="1">
      <alignment horizontal="center" vertical="center" wrapText="1"/>
    </xf>
    <xf numFmtId="0" fontId="2" fillId="0" borderId="9" xfId="0" applyFont="1" applyBorder="1" applyAlignment="1">
      <alignment horizontal="center" vertical="center"/>
    </xf>
    <xf numFmtId="0" fontId="2" fillId="0" borderId="3" xfId="0" applyFont="1" applyFill="1" applyBorder="1" applyAlignment="1">
      <alignment horizontal="center" vertical="center"/>
    </xf>
    <xf numFmtId="0" fontId="0" fillId="0" borderId="4" xfId="0" applyBorder="1" applyAlignment="1">
      <alignment horizontal="center" vertical="center"/>
    </xf>
    <xf numFmtId="0" fontId="2" fillId="0" borderId="3" xfId="0" applyFont="1" applyBorder="1" applyAlignment="1">
      <alignment horizontal="center" vertical="center"/>
    </xf>
    <xf numFmtId="0" fontId="0" fillId="0" borderId="4"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Border="1" applyAlignment="1">
      <alignment horizontal="center" vertical="center"/>
    </xf>
    <xf numFmtId="0" fontId="12" fillId="0" borderId="3"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2" fillId="2" borderId="3" xfId="0" applyFont="1" applyFill="1" applyBorder="1"/>
    <xf numFmtId="0" fontId="0" fillId="0" borderId="6" xfId="0" applyFont="1" applyFill="1" applyBorder="1" applyAlignment="1">
      <alignment horizontal="center" vertical="center" wrapText="1"/>
    </xf>
    <xf numFmtId="0" fontId="2" fillId="2" borderId="3" xfId="0" applyFont="1" applyFill="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6" xfId="0" applyFont="1" applyFill="1" applyBorder="1" applyAlignment="1">
      <alignment horizontal="center" vertical="center"/>
    </xf>
    <xf numFmtId="0" fontId="12" fillId="0" borderId="3" xfId="0" applyFont="1" applyBorder="1" applyAlignment="1">
      <alignment horizontal="center" vertical="center"/>
    </xf>
    <xf numFmtId="0" fontId="12" fillId="2" borderId="3" xfId="0" applyFont="1" applyFill="1" applyBorder="1" applyAlignment="1">
      <alignment horizontal="center" vertical="center"/>
    </xf>
    <xf numFmtId="0" fontId="2" fillId="0" borderId="8" xfId="0" applyFont="1" applyBorder="1"/>
    <xf numFmtId="0" fontId="5" fillId="0" borderId="9"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3" fillId="0" borderId="10" xfId="0" applyFont="1" applyBorder="1" applyAlignment="1">
      <alignment horizontal="left"/>
    </xf>
    <xf numFmtId="0" fontId="6" fillId="2" borderId="1" xfId="1" applyFont="1" applyFill="1" applyBorder="1" applyAlignment="1">
      <alignment horizontal="center" vertical="center" wrapText="1"/>
    </xf>
    <xf numFmtId="0" fontId="0" fillId="4" borderId="3" xfId="0" applyFont="1" applyFill="1" applyBorder="1"/>
    <xf numFmtId="0" fontId="0" fillId="6" borderId="3" xfId="0" applyFont="1" applyFill="1" applyBorder="1" applyAlignment="1">
      <alignment horizontal="left"/>
    </xf>
    <xf numFmtId="0" fontId="11" fillId="0" borderId="3" xfId="0" applyFont="1" applyBorder="1" applyAlignment="1">
      <alignment horizontal="center" vertical="center"/>
    </xf>
    <xf numFmtId="0" fontId="0" fillId="0" borderId="3" xfId="0" applyFont="1" applyBorder="1" applyAlignment="1">
      <alignment horizontal="center" vertical="center"/>
    </xf>
    <xf numFmtId="0" fontId="0" fillId="5" borderId="11" xfId="0" applyFont="1" applyFill="1" applyBorder="1"/>
    <xf numFmtId="0" fontId="0" fillId="4" borderId="11" xfId="0" applyFont="1" applyFill="1" applyBorder="1"/>
    <xf numFmtId="0" fontId="0" fillId="3" borderId="1" xfId="0" applyFont="1" applyFill="1" applyBorder="1"/>
    <xf numFmtId="0" fontId="11"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5" fillId="2" borderId="1" xfId="1" applyFont="1" applyFill="1" applyBorder="1" applyAlignment="1">
      <alignment horizontal="center" vertical="center" wrapText="1"/>
    </xf>
    <xf numFmtId="0" fontId="2" fillId="0" borderId="1" xfId="0" applyFont="1" applyBorder="1" applyAlignment="1">
      <alignment horizontal="center" vertical="center"/>
    </xf>
    <xf numFmtId="0" fontId="0" fillId="4" borderId="12" xfId="0" applyFont="1" applyFill="1" applyBorder="1"/>
    <xf numFmtId="0" fontId="1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0" fillId="0" borderId="0" xfId="0" applyBorder="1"/>
    <xf numFmtId="0" fontId="29" fillId="0" borderId="0" xfId="0" applyFont="1" applyBorder="1" applyAlignment="1">
      <alignment horizontal="center"/>
    </xf>
    <xf numFmtId="2" fontId="0" fillId="0" borderId="0" xfId="0" applyNumberFormat="1"/>
    <xf numFmtId="10" fontId="0" fillId="0" borderId="0" xfId="0" applyNumberFormat="1"/>
    <xf numFmtId="0" fontId="11" fillId="9" borderId="14" xfId="0" applyFont="1" applyFill="1" applyBorder="1" applyAlignment="1">
      <alignment horizontal="left"/>
    </xf>
    <xf numFmtId="0" fontId="0" fillId="6" borderId="12" xfId="0" applyFont="1" applyFill="1" applyBorder="1"/>
    <xf numFmtId="0" fontId="0" fillId="0" borderId="0" xfId="0" applyAlignment="1">
      <alignment horizontal="center"/>
    </xf>
    <xf numFmtId="0" fontId="0" fillId="0" borderId="0" xfId="0" applyAlignment="1">
      <alignment horizontal="center" wrapText="1"/>
    </xf>
    <xf numFmtId="0" fontId="29" fillId="0" borderId="0" xfId="0" applyFont="1" applyBorder="1" applyAlignment="1">
      <alignment horizontal="center" wrapText="1"/>
    </xf>
    <xf numFmtId="0" fontId="2" fillId="0" borderId="0" xfId="0" applyFont="1" applyAlignment="1">
      <alignment horizontal="center"/>
    </xf>
    <xf numFmtId="0" fontId="2" fillId="0" borderId="0" xfId="0" applyFont="1" applyAlignment="1">
      <alignment horizontal="right"/>
    </xf>
    <xf numFmtId="0" fontId="2" fillId="0" borderId="0" xfId="0" applyFont="1" applyAlignment="1">
      <alignment horizontal="right" wrapText="1"/>
    </xf>
    <xf numFmtId="0" fontId="2" fillId="0" borderId="0" xfId="0" applyFont="1" applyAlignment="1">
      <alignment horizontal="center" wrapText="1"/>
    </xf>
    <xf numFmtId="167" fontId="0" fillId="0" borderId="0" xfId="29" applyNumberFormat="1" applyFont="1"/>
    <xf numFmtId="167" fontId="0" fillId="0" borderId="0" xfId="0" applyNumberFormat="1"/>
    <xf numFmtId="43" fontId="0" fillId="0" borderId="0" xfId="0" applyNumberFormat="1"/>
    <xf numFmtId="167" fontId="2" fillId="0" borderId="0" xfId="0" applyNumberFormat="1" applyFont="1"/>
    <xf numFmtId="0" fontId="11" fillId="0" borderId="0" xfId="0" applyFont="1"/>
    <xf numFmtId="10" fontId="2" fillId="0" borderId="0" xfId="0" applyNumberFormat="1" applyFont="1"/>
    <xf numFmtId="10" fontId="0" fillId="0" borderId="0" xfId="0" applyNumberFormat="1" applyAlignment="1">
      <alignment horizontal="center"/>
    </xf>
    <xf numFmtId="0" fontId="29" fillId="0" borderId="0" xfId="0" applyFont="1"/>
    <xf numFmtId="0" fontId="0" fillId="0" borderId="0" xfId="0" applyAlignment="1">
      <alignment horizontal="right" wrapText="1"/>
    </xf>
    <xf numFmtId="0" fontId="2" fillId="0" borderId="4" xfId="0" applyNumberFormat="1" applyFont="1" applyBorder="1"/>
    <xf numFmtId="0" fontId="2" fillId="0" borderId="4" xfId="0" applyNumberFormat="1" applyFont="1" applyBorder="1" applyAlignment="1">
      <alignment horizontal="center" wrapText="1"/>
    </xf>
    <xf numFmtId="0" fontId="0" fillId="0" borderId="4" xfId="0" applyNumberFormat="1" applyFont="1" applyBorder="1"/>
    <xf numFmtId="0" fontId="2" fillId="0" borderId="4" xfId="0" applyFont="1" applyBorder="1"/>
    <xf numFmtId="0" fontId="2" fillId="0" borderId="4" xfId="0" applyFont="1" applyBorder="1" applyAlignment="1">
      <alignment horizontal="center" wrapText="1"/>
    </xf>
    <xf numFmtId="0" fontId="0" fillId="0" borderId="4" xfId="0" applyBorder="1"/>
    <xf numFmtId="2" fontId="0" fillId="0" borderId="4" xfId="0" applyNumberFormat="1" applyBorder="1"/>
    <xf numFmtId="10" fontId="0" fillId="0" borderId="4" xfId="0" applyNumberFormat="1" applyBorder="1" applyAlignment="1">
      <alignment horizontal="center"/>
    </xf>
    <xf numFmtId="0" fontId="0" fillId="0" borderId="4" xfId="0" applyFill="1" applyBorder="1"/>
    <xf numFmtId="10" fontId="0" fillId="0" borderId="4" xfId="0" applyNumberFormat="1" applyFont="1" applyBorder="1" applyAlignment="1">
      <alignment horizontal="center"/>
    </xf>
    <xf numFmtId="0" fontId="30" fillId="0" borderId="0" xfId="0" applyFont="1" applyBorder="1" applyAlignment="1">
      <alignment wrapText="1"/>
    </xf>
    <xf numFmtId="0" fontId="31" fillId="0" borderId="0" xfId="0" applyFont="1" applyBorder="1"/>
    <xf numFmtId="0" fontId="31" fillId="0" borderId="0" xfId="0" applyFont="1" applyBorder="1" applyAlignment="1">
      <alignment vertical="center" wrapText="1"/>
    </xf>
    <xf numFmtId="0" fontId="30" fillId="0" borderId="0" xfId="0" applyFont="1"/>
    <xf numFmtId="0" fontId="31" fillId="0" borderId="0" xfId="0" applyFont="1"/>
    <xf numFmtId="9" fontId="0" fillId="0" borderId="0" xfId="30" applyFont="1"/>
    <xf numFmtId="0" fontId="30" fillId="0" borderId="0" xfId="0" applyFont="1" applyBorder="1" applyAlignment="1">
      <alignment horizontal="center" vertical="center" wrapText="1"/>
    </xf>
    <xf numFmtId="0" fontId="30" fillId="0" borderId="0" xfId="0" applyFont="1" applyFill="1" applyBorder="1" applyAlignment="1">
      <alignment horizontal="center" vertical="center" wrapText="1"/>
    </xf>
    <xf numFmtId="0" fontId="0" fillId="0" borderId="0" xfId="0" applyAlignment="1">
      <alignment horizontal="center" vertical="center" wrapText="1"/>
    </xf>
    <xf numFmtId="10" fontId="0" fillId="0" borderId="4" xfId="30" applyNumberFormat="1" applyFont="1" applyBorder="1"/>
    <xf numFmtId="0" fontId="2" fillId="0" borderId="4" xfId="0" applyFont="1" applyFill="1" applyBorder="1" applyAlignment="1">
      <alignment wrapText="1"/>
    </xf>
    <xf numFmtId="0" fontId="0" fillId="0" borderId="4" xfId="30" applyNumberFormat="1" applyFont="1" applyBorder="1"/>
    <xf numFmtId="168" fontId="0" fillId="0" borderId="4" xfId="30" applyNumberFormat="1" applyFont="1" applyBorder="1"/>
    <xf numFmtId="0" fontId="0" fillId="0" borderId="0" xfId="0" applyAlignment="1">
      <alignment horizontal="center"/>
    </xf>
    <xf numFmtId="0" fontId="32" fillId="0" borderId="0" xfId="0" applyFont="1" applyAlignment="1">
      <alignment vertical="center"/>
    </xf>
    <xf numFmtId="0" fontId="0" fillId="0" borderId="11" xfId="0" applyFont="1" applyBorder="1" applyAlignment="1">
      <alignment horizontal="center" vertical="center" wrapText="1"/>
    </xf>
    <xf numFmtId="2" fontId="2" fillId="0" borderId="0" xfId="0" applyNumberFormat="1" applyFont="1" applyAlignment="1">
      <alignment horizontal="center"/>
    </xf>
    <xf numFmtId="0" fontId="10" fillId="0" borderId="4"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0" fillId="0" borderId="3" xfId="0" applyFont="1" applyFill="1" applyBorder="1"/>
    <xf numFmtId="0" fontId="11" fillId="0" borderId="3" xfId="0" applyFont="1" applyFill="1" applyBorder="1" applyAlignment="1">
      <alignment horizontal="center" vertical="center"/>
    </xf>
    <xf numFmtId="0" fontId="0" fillId="0" borderId="3" xfId="0" applyFont="1" applyFill="1" applyBorder="1" applyAlignment="1">
      <alignment horizontal="center" vertical="center"/>
    </xf>
    <xf numFmtId="2" fontId="0" fillId="0" borderId="11" xfId="0" applyNumberFormat="1" applyFont="1" applyFill="1" applyBorder="1" applyAlignment="1">
      <alignment horizontal="center" vertical="center"/>
    </xf>
    <xf numFmtId="0" fontId="34" fillId="0" borderId="6" xfId="0" applyFont="1" applyFill="1" applyBorder="1" applyAlignment="1">
      <alignment horizontal="center" vertical="center"/>
    </xf>
    <xf numFmtId="0" fontId="10" fillId="0" borderId="0" xfId="0" applyFont="1"/>
    <xf numFmtId="0" fontId="34" fillId="0" borderId="4" xfId="0" applyFont="1" applyFill="1" applyBorder="1" applyAlignment="1">
      <alignment horizontal="center" vertical="center"/>
    </xf>
    <xf numFmtId="2" fontId="34" fillId="0" borderId="4" xfId="0" applyNumberFormat="1" applyFont="1" applyFill="1" applyBorder="1" applyAlignment="1">
      <alignment horizontal="center" vertical="center"/>
    </xf>
    <xf numFmtId="2" fontId="34" fillId="0" borderId="6" xfId="0" applyNumberFormat="1" applyFont="1" applyFill="1" applyBorder="1" applyAlignment="1">
      <alignment horizontal="center" vertical="center"/>
    </xf>
    <xf numFmtId="0" fontId="0" fillId="0" borderId="0" xfId="0" applyFill="1" applyAlignment="1">
      <alignment wrapText="1"/>
    </xf>
    <xf numFmtId="2" fontId="0" fillId="0" borderId="4" xfId="0" applyNumberFormat="1" applyFill="1" applyBorder="1"/>
    <xf numFmtId="169" fontId="0" fillId="0" borderId="0" xfId="0" applyNumberFormat="1"/>
    <xf numFmtId="0" fontId="0" fillId="0" borderId="0" xfId="0" applyFill="1"/>
    <xf numFmtId="2" fontId="0" fillId="0" borderId="0" xfId="0" applyNumberFormat="1" applyFill="1" applyAlignment="1">
      <alignment horizontal="center"/>
    </xf>
    <xf numFmtId="0" fontId="0" fillId="0" borderId="0" xfId="0" applyFill="1" applyAlignment="1">
      <alignment horizontal="center"/>
    </xf>
    <xf numFmtId="0" fontId="34" fillId="0" borderId="0" xfId="0" applyFont="1" applyFill="1" applyAlignment="1">
      <alignment horizontal="center"/>
    </xf>
    <xf numFmtId="0" fontId="2" fillId="0" borderId="0" xfId="0" applyFont="1" applyFill="1" applyAlignment="1">
      <alignment horizontal="center"/>
    </xf>
    <xf numFmtId="0" fontId="0" fillId="0" borderId="0" xfId="0" applyFill="1" applyAlignment="1"/>
    <xf numFmtId="0" fontId="2" fillId="0" borderId="0" xfId="0" applyFont="1" applyFill="1" applyAlignment="1">
      <alignment horizontal="right"/>
    </xf>
    <xf numFmtId="1" fontId="34" fillId="0" borderId="0" xfId="0" applyNumberFormat="1" applyFont="1" applyFill="1" applyAlignment="1">
      <alignment horizontal="center"/>
    </xf>
    <xf numFmtId="0" fontId="0" fillId="0" borderId="0" xfId="0" applyBorder="1" applyAlignment="1">
      <alignment wrapText="1"/>
    </xf>
    <xf numFmtId="0" fontId="0" fillId="2" borderId="0" xfId="0" applyFill="1" applyBorder="1" applyAlignment="1">
      <alignment wrapText="1"/>
    </xf>
    <xf numFmtId="0" fontId="0" fillId="0" borderId="0" xfId="0" applyFill="1" applyAlignment="1">
      <alignment horizontal="center" wrapText="1"/>
    </xf>
    <xf numFmtId="0" fontId="2" fillId="0" borderId="0" xfId="0" applyFont="1" applyFill="1" applyAlignment="1">
      <alignment horizontal="right" wrapText="1"/>
    </xf>
    <xf numFmtId="2" fontId="2" fillId="0" borderId="0" xfId="0" applyNumberFormat="1" applyFont="1" applyFill="1" applyAlignment="1">
      <alignment horizontal="center"/>
    </xf>
    <xf numFmtId="2" fontId="0" fillId="0" borderId="0" xfId="0" applyNumberForma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center"/>
    </xf>
    <xf numFmtId="2" fontId="11" fillId="0" borderId="0" xfId="0" applyNumberFormat="1" applyFont="1" applyFill="1" applyAlignment="1">
      <alignment horizontal="center"/>
    </xf>
    <xf numFmtId="2" fontId="34" fillId="0" borderId="0" xfId="0" applyNumberFormat="1" applyFont="1" applyFill="1" applyAlignment="1">
      <alignment horizontal="center"/>
    </xf>
    <xf numFmtId="10" fontId="2" fillId="0" borderId="0" xfId="0" applyNumberFormat="1" applyFont="1" applyFill="1" applyAlignment="1">
      <alignment horizontal="center"/>
    </xf>
    <xf numFmtId="10" fontId="0" fillId="0" borderId="0" xfId="0" applyNumberFormat="1" applyFill="1" applyAlignment="1">
      <alignment horizontal="center"/>
    </xf>
    <xf numFmtId="0" fontId="0" fillId="0" borderId="12" xfId="0" applyFont="1" applyBorder="1" applyAlignment="1">
      <alignment horizontal="center" vertical="center"/>
    </xf>
    <xf numFmtId="2" fontId="0" fillId="0" borderId="0" xfId="0" applyNumberFormat="1" applyFill="1" applyAlignment="1">
      <alignment horizontal="center"/>
    </xf>
    <xf numFmtId="0" fontId="6" fillId="0" borderId="15" xfId="0" applyFont="1" applyBorder="1" applyAlignment="1">
      <alignment horizontal="left" wrapText="1"/>
    </xf>
    <xf numFmtId="0" fontId="26" fillId="0" borderId="16" xfId="1" applyFont="1" applyFill="1" applyBorder="1" applyAlignment="1">
      <alignment horizontal="center" vertical="center" wrapText="1"/>
    </xf>
    <xf numFmtId="0" fontId="0" fillId="0" borderId="17" xfId="0" applyBorder="1"/>
    <xf numFmtId="0" fontId="25" fillId="2" borderId="18" xfId="1" applyFont="1" applyFill="1" applyBorder="1" applyAlignment="1">
      <alignment horizontal="left" vertical="center" wrapText="1"/>
    </xf>
    <xf numFmtId="0" fontId="0" fillId="0" borderId="19" xfId="0" applyBorder="1"/>
    <xf numFmtId="0" fontId="25" fillId="0" borderId="20" xfId="0" applyFont="1" applyBorder="1" applyAlignment="1">
      <alignment horizontal="left" wrapText="1"/>
    </xf>
    <xf numFmtId="0" fontId="26" fillId="0" borderId="21" xfId="0" applyFont="1" applyFill="1" applyBorder="1" applyAlignment="1">
      <alignment horizontal="center"/>
    </xf>
    <xf numFmtId="0" fontId="25" fillId="0" borderId="18" xfId="0" applyFont="1" applyFill="1" applyBorder="1" applyAlignment="1">
      <alignment horizontal="left" wrapText="1"/>
    </xf>
    <xf numFmtId="0" fontId="26" fillId="0" borderId="21" xfId="0" applyFont="1" applyBorder="1" applyAlignment="1">
      <alignment horizontal="center"/>
    </xf>
    <xf numFmtId="0" fontId="25" fillId="0" borderId="18" xfId="0" applyFont="1" applyBorder="1" applyAlignment="1">
      <alignment horizontal="left" wrapText="1"/>
    </xf>
    <xf numFmtId="0" fontId="25" fillId="0" borderId="18" xfId="0" applyFont="1" applyBorder="1" applyAlignment="1">
      <alignment horizontal="left" vertical="top" wrapText="1"/>
    </xf>
    <xf numFmtId="0" fontId="25" fillId="0" borderId="21" xfId="0" applyFont="1" applyBorder="1" applyAlignment="1">
      <alignment horizontal="left" wrapText="1"/>
    </xf>
    <xf numFmtId="0" fontId="25" fillId="0" borderId="18" xfId="0" applyFont="1" applyBorder="1" applyAlignment="1">
      <alignment horizontal="left" vertical="top"/>
    </xf>
    <xf numFmtId="0" fontId="25" fillId="0" borderId="20" xfId="0" applyFont="1" applyFill="1" applyBorder="1" applyAlignment="1">
      <alignment horizontal="left" wrapText="1"/>
    </xf>
    <xf numFmtId="0" fontId="6" fillId="2" borderId="21" xfId="0" applyFont="1" applyFill="1" applyBorder="1" applyAlignment="1">
      <alignment horizontal="center"/>
    </xf>
    <xf numFmtId="0" fontId="25" fillId="0" borderId="22" xfId="0" applyFont="1" applyBorder="1" applyAlignment="1">
      <alignment horizontal="left" wrapText="1"/>
    </xf>
    <xf numFmtId="0" fontId="25" fillId="0" borderId="15" xfId="0" applyFont="1" applyBorder="1" applyAlignment="1">
      <alignment horizontal="left" wrapText="1"/>
    </xf>
    <xf numFmtId="0" fontId="0" fillId="0" borderId="5" xfId="0" applyBorder="1"/>
    <xf numFmtId="0" fontId="0" fillId="0" borderId="23" xfId="0" applyBorder="1"/>
    <xf numFmtId="0" fontId="0" fillId="0" borderId="24" xfId="0" applyBorder="1"/>
    <xf numFmtId="0" fontId="2" fillId="0" borderId="17" xfId="0" applyFont="1" applyBorder="1"/>
    <xf numFmtId="0" fontId="35" fillId="0" borderId="2" xfId="2" applyFont="1" applyBorder="1" applyAlignment="1">
      <alignment horizontal="left"/>
    </xf>
    <xf numFmtId="0" fontId="34" fillId="0" borderId="23" xfId="2" applyFont="1" applyBorder="1" applyAlignment="1">
      <alignment horizontal="left" wrapText="1"/>
    </xf>
    <xf numFmtId="0" fontId="26" fillId="0" borderId="21" xfId="0" applyFont="1" applyFill="1" applyBorder="1" applyAlignment="1">
      <alignment horizontal="left"/>
    </xf>
    <xf numFmtId="0" fontId="2" fillId="0" borderId="2" xfId="0" applyFont="1" applyFill="1" applyBorder="1"/>
    <xf numFmtId="0" fontId="2" fillId="0" borderId="25" xfId="0" applyFont="1" applyFill="1" applyBorder="1"/>
    <xf numFmtId="0" fontId="25" fillId="2" borderId="18" xfId="0" applyFont="1" applyFill="1" applyBorder="1" applyAlignment="1">
      <alignment horizontal="left" wrapText="1"/>
    </xf>
    <xf numFmtId="0" fontId="0" fillId="0" borderId="23" xfId="0" applyFill="1" applyBorder="1"/>
    <xf numFmtId="0" fontId="2" fillId="0" borderId="17" xfId="0" applyFont="1" applyFill="1" applyBorder="1"/>
    <xf numFmtId="0" fontId="26" fillId="0" borderId="21" xfId="0" applyFont="1" applyFill="1" applyBorder="1" applyAlignment="1">
      <alignment horizontal="left" wrapText="1"/>
    </xf>
    <xf numFmtId="0" fontId="25" fillId="0" borderId="21" xfId="0" applyFont="1" applyFill="1" applyBorder="1" applyAlignment="1">
      <alignment horizontal="left" wrapText="1"/>
    </xf>
    <xf numFmtId="0" fontId="26" fillId="0" borderId="18" xfId="0" applyFont="1" applyFill="1" applyBorder="1" applyAlignment="1">
      <alignment horizontal="left" wrapText="1"/>
    </xf>
    <xf numFmtId="0" fontId="35" fillId="0" borderId="2" xfId="2" applyFont="1" applyBorder="1" applyAlignment="1">
      <alignment horizontal="left" wrapText="1"/>
    </xf>
    <xf numFmtId="0" fontId="0" fillId="0" borderId="19" xfId="0" applyBorder="1" applyAlignment="1">
      <alignment wrapText="1"/>
    </xf>
    <xf numFmtId="0" fontId="0" fillId="3" borderId="12" xfId="0" applyFont="1" applyFill="1" applyBorder="1"/>
    <xf numFmtId="0" fontId="0" fillId="0" borderId="17" xfId="0" applyBorder="1" applyAlignment="1">
      <alignment wrapText="1"/>
    </xf>
    <xf numFmtId="0" fontId="0" fillId="0" borderId="0" xfId="0" applyFill="1" applyAlignment="1">
      <alignment horizontal="center" wrapText="1"/>
    </xf>
    <xf numFmtId="0" fontId="2" fillId="4" borderId="3" xfId="0" applyFont="1" applyFill="1" applyBorder="1" applyAlignment="1">
      <alignment horizontal="left"/>
    </xf>
    <xf numFmtId="0" fontId="0" fillId="4" borderId="4" xfId="0" applyFont="1" applyFill="1" applyBorder="1" applyAlignment="1">
      <alignment horizontal="left"/>
    </xf>
    <xf numFmtId="0" fontId="0" fillId="4" borderId="6" xfId="0" applyFont="1" applyFill="1" applyBorder="1" applyAlignment="1">
      <alignment horizontal="left"/>
    </xf>
    <xf numFmtId="0" fontId="12" fillId="7" borderId="3" xfId="0" applyFont="1" applyFill="1" applyBorder="1" applyAlignment="1">
      <alignment horizontal="left"/>
    </xf>
    <xf numFmtId="0" fontId="11" fillId="7" borderId="4" xfId="0" applyFont="1" applyFill="1" applyBorder="1" applyAlignment="1">
      <alignment horizontal="left"/>
    </xf>
    <xf numFmtId="0" fontId="11" fillId="7" borderId="6" xfId="0" applyFont="1" applyFill="1" applyBorder="1" applyAlignment="1">
      <alignment horizontal="left"/>
    </xf>
    <xf numFmtId="2" fontId="0" fillId="0" borderId="4" xfId="0" applyNumberFormat="1" applyFont="1" applyBorder="1"/>
    <xf numFmtId="0" fontId="0" fillId="0" borderId="12" xfId="0"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2" xfId="1" applyFont="1" applyFill="1" applyBorder="1" applyAlignment="1">
      <alignment horizontal="center" vertical="center" wrapText="1"/>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center" vertical="center"/>
    </xf>
    <xf numFmtId="0" fontId="10" fillId="0" borderId="13" xfId="1" applyFont="1" applyFill="1" applyBorder="1" applyAlignment="1">
      <alignment horizontal="center" vertical="center" wrapText="1"/>
    </xf>
    <xf numFmtId="0" fontId="10" fillId="0" borderId="12" xfId="1" applyFont="1" applyFill="1" applyBorder="1" applyAlignment="1">
      <alignment horizontal="center" vertical="center" wrapText="1"/>
    </xf>
    <xf numFmtId="2" fontId="0" fillId="0" borderId="0" xfId="0" applyNumberFormat="1" applyFill="1" applyAlignment="1">
      <alignment horizontal="center"/>
    </xf>
    <xf numFmtId="0" fontId="29" fillId="0" borderId="0" xfId="0" applyFont="1" applyBorder="1" applyAlignment="1">
      <alignment horizontal="center"/>
    </xf>
    <xf numFmtId="0" fontId="0" fillId="0" borderId="0" xfId="0" applyAlignment="1">
      <alignment horizontal="left" wrapText="1"/>
    </xf>
    <xf numFmtId="0" fontId="0" fillId="0" borderId="0" xfId="0" applyFill="1" applyAlignment="1">
      <alignment horizontal="center"/>
    </xf>
    <xf numFmtId="0" fontId="0" fillId="0" borderId="0" xfId="0" applyFill="1" applyAlignment="1">
      <alignment horizontal="center" wrapText="1"/>
    </xf>
    <xf numFmtId="2" fontId="34" fillId="0" borderId="0" xfId="0" applyNumberFormat="1" applyFont="1" applyFill="1" applyAlignment="1">
      <alignment horizontal="center"/>
    </xf>
    <xf numFmtId="0" fontId="12" fillId="0" borderId="0" xfId="0" applyFont="1" applyAlignment="1">
      <alignment horizontal="left" wrapText="1"/>
    </xf>
    <xf numFmtId="0" fontId="11" fillId="0" borderId="0" xfId="0" applyFont="1" applyFill="1" applyAlignment="1">
      <alignment horizontal="center"/>
    </xf>
    <xf numFmtId="0" fontId="32" fillId="0" borderId="0" xfId="0" applyFont="1" applyAlignment="1">
      <alignment horizontal="left" vertical="center" wrapText="1"/>
    </xf>
  </cellXfs>
  <cellStyles count="102">
    <cellStyle name="Comma" xfId="29" builtinId="3"/>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Heading" xfId="3"/>
    <cellStyle name="Heading 5" xfId="4"/>
    <cellStyle name="Heading 6" xfId="5"/>
    <cellStyle name="Heading1" xfId="6"/>
    <cellStyle name="Heading1 2" xfId="7"/>
    <cellStyle name="Heading1 3" xfId="8"/>
    <cellStyle name="Hyperlink" xfId="2" builtinId="8"/>
    <cellStyle name="Normal" xfId="0" builtinId="0"/>
    <cellStyle name="Normal 2" xfId="1"/>
    <cellStyle name="Normal 2 2" xfId="9"/>
    <cellStyle name="Normal 3" xfId="10"/>
    <cellStyle name="Normal 4" xfId="11"/>
    <cellStyle name="Normal 5" xfId="12"/>
    <cellStyle name="Percent" xfId="30" builtinId="5"/>
    <cellStyle name="Result" xfId="13"/>
    <cellStyle name="Result 2" xfId="14"/>
    <cellStyle name="Result 3" xfId="15"/>
    <cellStyle name="Result2" xfId="16"/>
    <cellStyle name="Result2 2" xfId="17"/>
    <cellStyle name="Result2 3" xfId="18"/>
    <cellStyle name="Result2 4" xfId="19"/>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dPt>
            <c:idx val="0"/>
            <c:bubble3D val="0"/>
            <c:spPr>
              <a:solidFill>
                <a:srgbClr val="008000"/>
              </a:solidFill>
            </c:spPr>
          </c:dPt>
          <c:dPt>
            <c:idx val="1"/>
            <c:bubble3D val="0"/>
            <c:spPr>
              <a:solidFill>
                <a:srgbClr val="FFFF00"/>
              </a:solidFill>
            </c:spPr>
          </c:dPt>
          <c:dPt>
            <c:idx val="2"/>
            <c:bubble3D val="0"/>
            <c:spPr>
              <a:solidFill>
                <a:srgbClr val="FF0000"/>
              </a:solidFill>
            </c:spPr>
          </c:dPt>
          <c:dPt>
            <c:idx val="3"/>
            <c:bubble3D val="0"/>
            <c:spPr>
              <a:solidFill>
                <a:schemeClr val="accent6">
                  <a:lumMod val="75000"/>
                </a:schemeClr>
              </a:solidFill>
            </c:spPr>
          </c:dPt>
          <c:dPt>
            <c:idx val="4"/>
            <c:bubble3D val="0"/>
            <c:spPr>
              <a:solidFill>
                <a:schemeClr val="bg1">
                  <a:lumMod val="65000"/>
                </a:schemeClr>
              </a:solidFill>
            </c:spPr>
          </c:dPt>
          <c:dLbls>
            <c:dLbl>
              <c:idx val="0"/>
              <c:layout>
                <c:manualLayout>
                  <c:x val="-0.0647732203117467"/>
                  <c:y val="-0.0376060452120904"/>
                </c:manualLayout>
              </c:layout>
              <c:showLegendKey val="0"/>
              <c:showVal val="1"/>
              <c:showCatName val="0"/>
              <c:showSerName val="0"/>
              <c:showPercent val="0"/>
              <c:showBubbleSize val="0"/>
            </c:dLbl>
            <c:dLbl>
              <c:idx val="1"/>
              <c:layout>
                <c:manualLayout>
                  <c:x val="0.0126131889763779"/>
                  <c:y val="-0.0288188976377953"/>
                </c:manualLayout>
              </c:layout>
              <c:showLegendKey val="0"/>
              <c:showVal val="1"/>
              <c:showCatName val="0"/>
              <c:showSerName val="0"/>
              <c:showPercent val="0"/>
              <c:showBubbleSize val="0"/>
            </c:dLbl>
            <c:dLbl>
              <c:idx val="4"/>
              <c:layout>
                <c:manualLayout>
                  <c:x val="0.155327816165836"/>
                  <c:y val="-0.157162390991449"/>
                </c:manualLayout>
              </c:layout>
              <c:showLegendKey val="0"/>
              <c:showVal val="1"/>
              <c:showCatName val="0"/>
              <c:showSerName val="0"/>
              <c:showPercent val="0"/>
              <c:showBubbleSize val="0"/>
            </c:dLbl>
            <c:showLegendKey val="0"/>
            <c:showVal val="1"/>
            <c:showCatName val="0"/>
            <c:showSerName val="0"/>
            <c:showPercent val="0"/>
            <c:showBubbleSize val="0"/>
            <c:showLeaderLines val="1"/>
          </c:dLbls>
          <c:cat>
            <c:strRef>
              <c:f>'Warm-water'!$O$4:$O$7</c:f>
              <c:strCache>
                <c:ptCount val="4"/>
                <c:pt idx="0">
                  <c:v>Warm-water A</c:v>
                </c:pt>
                <c:pt idx="1">
                  <c:v>Warm-water B</c:v>
                </c:pt>
                <c:pt idx="2">
                  <c:v>Warm-water C</c:v>
                </c:pt>
                <c:pt idx="3">
                  <c:v>Warm-water DD</c:v>
                </c:pt>
              </c:strCache>
            </c:strRef>
          </c:cat>
          <c:val>
            <c:numRef>
              <c:f>'Warm-water'!$Q$4:$Q$7</c:f>
              <c:numCache>
                <c:formatCode>0.00%</c:formatCode>
                <c:ptCount val="4"/>
                <c:pt idx="0">
                  <c:v>0.00937303668137291</c:v>
                </c:pt>
                <c:pt idx="1">
                  <c:v>0.0883082438030791</c:v>
                </c:pt>
                <c:pt idx="2">
                  <c:v>0.419276527688569</c:v>
                </c:pt>
                <c:pt idx="3">
                  <c:v>0.483042191826979</c:v>
                </c:pt>
              </c:numCache>
            </c:numRef>
          </c:val>
        </c:ser>
        <c:dLbls>
          <c:showLegendKey val="0"/>
          <c:showVal val="0"/>
          <c:showCatName val="0"/>
          <c:showSerName val="0"/>
          <c:showPercent val="0"/>
          <c:showBubbleSize val="0"/>
          <c:showLeaderLines val="1"/>
        </c:dLbls>
      </c:pie3DChart>
    </c:plotArea>
    <c:legend>
      <c:legendPos val="r"/>
      <c:overlay val="0"/>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dPt>
            <c:idx val="0"/>
            <c:bubble3D val="0"/>
            <c:spPr>
              <a:solidFill>
                <a:srgbClr val="008000"/>
              </a:solidFill>
            </c:spPr>
          </c:dPt>
          <c:dPt>
            <c:idx val="1"/>
            <c:bubble3D val="0"/>
            <c:spPr>
              <a:solidFill>
                <a:srgbClr val="FFFF00"/>
              </a:solidFill>
            </c:spPr>
          </c:dPt>
          <c:dPt>
            <c:idx val="2"/>
            <c:bubble3D val="0"/>
            <c:spPr>
              <a:solidFill>
                <a:srgbClr val="FF0000"/>
              </a:solidFill>
            </c:spPr>
          </c:dPt>
          <c:dPt>
            <c:idx val="3"/>
            <c:bubble3D val="0"/>
            <c:spPr>
              <a:solidFill>
                <a:schemeClr val="bg1">
                  <a:lumMod val="65000"/>
                </a:schemeClr>
              </a:solidFill>
            </c:spPr>
          </c:dPt>
          <c:dPt>
            <c:idx val="4"/>
            <c:bubble3D val="0"/>
            <c:spPr>
              <a:solidFill>
                <a:schemeClr val="bg1">
                  <a:lumMod val="65000"/>
                </a:schemeClr>
              </a:solidFill>
            </c:spPr>
          </c:dPt>
          <c:dLbls>
            <c:dLbl>
              <c:idx val="0"/>
              <c:layout>
                <c:manualLayout>
                  <c:x val="0.029947573517596"/>
                  <c:y val="-0.033263059859453"/>
                </c:manualLayout>
              </c:layout>
              <c:showLegendKey val="0"/>
              <c:showVal val="1"/>
              <c:showCatName val="0"/>
              <c:showSerName val="0"/>
              <c:showPercent val="0"/>
              <c:showBubbleSize val="0"/>
            </c:dLbl>
            <c:showLegendKey val="0"/>
            <c:showVal val="1"/>
            <c:showCatName val="0"/>
            <c:showSerName val="0"/>
            <c:showPercent val="0"/>
            <c:showBubbleSize val="0"/>
            <c:showLeaderLines val="1"/>
          </c:dLbls>
          <c:cat>
            <c:strRef>
              <c:f>'Cold-water'!$L$4:$L$6</c:f>
              <c:strCache>
                <c:ptCount val="3"/>
                <c:pt idx="0">
                  <c:v>Cold-water A</c:v>
                </c:pt>
                <c:pt idx="1">
                  <c:v>Cold-water B</c:v>
                </c:pt>
                <c:pt idx="2">
                  <c:v>Cold-water C</c:v>
                </c:pt>
              </c:strCache>
            </c:strRef>
          </c:cat>
          <c:val>
            <c:numRef>
              <c:f>'Cold-water'!$N$4:$N$6</c:f>
              <c:numCache>
                <c:formatCode>0.00%</c:formatCode>
                <c:ptCount val="3"/>
                <c:pt idx="0">
                  <c:v>0.122165452228669</c:v>
                </c:pt>
                <c:pt idx="1">
                  <c:v>0.732128276817636</c:v>
                </c:pt>
                <c:pt idx="2">
                  <c:v>0.145706270953695</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677187813771601"/>
          <c:y val="0.215136199191317"/>
          <c:w val="0.243006866440273"/>
          <c:h val="0.569728039314235"/>
        </c:manualLayout>
      </c:layout>
      <c:overlay val="0"/>
    </c:legend>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41765661479463"/>
          <c:y val="0.0478821362799263"/>
          <c:w val="0.702583245301778"/>
          <c:h val="0.788778584997317"/>
        </c:manualLayout>
      </c:layout>
      <c:barChart>
        <c:barDir val="col"/>
        <c:grouping val="stacked"/>
        <c:varyColors val="0"/>
        <c:ser>
          <c:idx val="0"/>
          <c:order val="0"/>
          <c:tx>
            <c:strRef>
              <c:f>'MSC-FIP info'!$K$4</c:f>
              <c:strCache>
                <c:ptCount val="1"/>
                <c:pt idx="0">
                  <c:v>MSC-C</c:v>
                </c:pt>
              </c:strCache>
            </c:strRef>
          </c:tx>
          <c:spPr>
            <a:solidFill>
              <a:srgbClr val="008000"/>
            </a:solidFill>
          </c:spPr>
          <c:invertIfNegative val="0"/>
          <c:cat>
            <c:strRef>
              <c:f>'MSC-FIP info'!$L$3:$N$3</c:f>
              <c:strCache>
                <c:ptCount val="3"/>
                <c:pt idx="0">
                  <c:v>Cold-water shrimp</c:v>
                </c:pt>
                <c:pt idx="1">
                  <c:v>Warm-water shrimp</c:v>
                </c:pt>
                <c:pt idx="2">
                  <c:v>Paste shrimp</c:v>
                </c:pt>
              </c:strCache>
            </c:strRef>
          </c:cat>
          <c:val>
            <c:numRef>
              <c:f>'MSC-FIP info'!$L$4:$N$4</c:f>
              <c:numCache>
                <c:formatCode>General</c:formatCode>
                <c:ptCount val="3"/>
                <c:pt idx="0" formatCode="0.00">
                  <c:v>313.3029090909091</c:v>
                </c:pt>
                <c:pt idx="1">
                  <c:v>15.61</c:v>
                </c:pt>
                <c:pt idx="2">
                  <c:v>0.0</c:v>
                </c:pt>
              </c:numCache>
            </c:numRef>
          </c:val>
        </c:ser>
        <c:ser>
          <c:idx val="1"/>
          <c:order val="1"/>
          <c:tx>
            <c:strRef>
              <c:f>'MSC-FIP info'!$K$5</c:f>
              <c:strCache>
                <c:ptCount val="1"/>
                <c:pt idx="0">
                  <c:v>MSC-FA</c:v>
                </c:pt>
              </c:strCache>
            </c:strRef>
          </c:tx>
          <c:spPr>
            <a:solidFill>
              <a:srgbClr val="FFFF00"/>
            </a:solidFill>
          </c:spPr>
          <c:invertIfNegative val="0"/>
          <c:cat>
            <c:strRef>
              <c:f>'MSC-FIP info'!$L$3:$N$3</c:f>
              <c:strCache>
                <c:ptCount val="3"/>
                <c:pt idx="0">
                  <c:v>Cold-water shrimp</c:v>
                </c:pt>
                <c:pt idx="1">
                  <c:v>Warm-water shrimp</c:v>
                </c:pt>
                <c:pt idx="2">
                  <c:v>Paste shrimp</c:v>
                </c:pt>
              </c:strCache>
            </c:strRef>
          </c:cat>
          <c:val>
            <c:numRef>
              <c:f>'MSC-FIP info'!$L$5:$N$5</c:f>
              <c:numCache>
                <c:formatCode>General</c:formatCode>
                <c:ptCount val="3"/>
                <c:pt idx="0" formatCode="0.00">
                  <c:v>45.0051728110599</c:v>
                </c:pt>
                <c:pt idx="1">
                  <c:v>0.0</c:v>
                </c:pt>
                <c:pt idx="2">
                  <c:v>0.0</c:v>
                </c:pt>
              </c:numCache>
            </c:numRef>
          </c:val>
        </c:ser>
        <c:ser>
          <c:idx val="2"/>
          <c:order val="2"/>
          <c:tx>
            <c:strRef>
              <c:f>'MSC-FIP info'!$K$6</c:f>
              <c:strCache>
                <c:ptCount val="1"/>
                <c:pt idx="0">
                  <c:v>FIP</c:v>
                </c:pt>
              </c:strCache>
            </c:strRef>
          </c:tx>
          <c:spPr>
            <a:solidFill>
              <a:schemeClr val="accent6"/>
            </a:solidFill>
          </c:spPr>
          <c:invertIfNegative val="0"/>
          <c:cat>
            <c:strRef>
              <c:f>'MSC-FIP info'!$L$3:$N$3</c:f>
              <c:strCache>
                <c:ptCount val="3"/>
                <c:pt idx="0">
                  <c:v>Cold-water shrimp</c:v>
                </c:pt>
                <c:pt idx="1">
                  <c:v>Warm-water shrimp</c:v>
                </c:pt>
                <c:pt idx="2">
                  <c:v>Paste shrimp</c:v>
                </c:pt>
              </c:strCache>
            </c:strRef>
          </c:cat>
          <c:val>
            <c:numRef>
              <c:f>'MSC-FIP info'!$L$6:$N$6</c:f>
              <c:numCache>
                <c:formatCode>General</c:formatCode>
                <c:ptCount val="3"/>
                <c:pt idx="0">
                  <c:v>0.0</c:v>
                </c:pt>
                <c:pt idx="1">
                  <c:v>149.425</c:v>
                </c:pt>
                <c:pt idx="2">
                  <c:v>0.0</c:v>
                </c:pt>
              </c:numCache>
            </c:numRef>
          </c:val>
        </c:ser>
        <c:ser>
          <c:idx val="3"/>
          <c:order val="3"/>
          <c:tx>
            <c:strRef>
              <c:f>'MSC-FIP info'!$K$7</c:f>
              <c:strCache>
                <c:ptCount val="1"/>
                <c:pt idx="0">
                  <c:v>None</c:v>
                </c:pt>
              </c:strCache>
            </c:strRef>
          </c:tx>
          <c:spPr>
            <a:solidFill>
              <a:schemeClr val="bg1">
                <a:lumMod val="50000"/>
              </a:schemeClr>
            </a:solidFill>
          </c:spPr>
          <c:invertIfNegative val="0"/>
          <c:cat>
            <c:strRef>
              <c:f>'MSC-FIP info'!$L$3:$N$3</c:f>
              <c:strCache>
                <c:ptCount val="3"/>
                <c:pt idx="0">
                  <c:v>Cold-water shrimp</c:v>
                </c:pt>
                <c:pt idx="1">
                  <c:v>Warm-water shrimp</c:v>
                </c:pt>
                <c:pt idx="2">
                  <c:v>Paste shrimp</c:v>
                </c:pt>
              </c:strCache>
            </c:strRef>
          </c:cat>
          <c:val>
            <c:numRef>
              <c:f>'MSC-FIP info'!$L$7:$N$7</c:f>
              <c:numCache>
                <c:formatCode>General</c:formatCode>
                <c:ptCount val="3"/>
                <c:pt idx="0" formatCode="0.00">
                  <c:v>177.1919180980311</c:v>
                </c:pt>
                <c:pt idx="1">
                  <c:v>1869.665</c:v>
                </c:pt>
                <c:pt idx="2">
                  <c:v>633.1</c:v>
                </c:pt>
              </c:numCache>
            </c:numRef>
          </c:val>
        </c:ser>
        <c:dLbls>
          <c:showLegendKey val="0"/>
          <c:showVal val="0"/>
          <c:showCatName val="0"/>
          <c:showSerName val="0"/>
          <c:showPercent val="0"/>
          <c:showBubbleSize val="0"/>
        </c:dLbls>
        <c:gapWidth val="150"/>
        <c:overlap val="100"/>
        <c:axId val="-2114916552"/>
        <c:axId val="-2114910984"/>
      </c:barChart>
      <c:catAx>
        <c:axId val="-2114916552"/>
        <c:scaling>
          <c:orientation val="minMax"/>
        </c:scaling>
        <c:delete val="0"/>
        <c:axPos val="b"/>
        <c:title>
          <c:tx>
            <c:rich>
              <a:bodyPr/>
              <a:lstStyle/>
              <a:p>
                <a:pPr>
                  <a:defRPr sz="1200"/>
                </a:pPr>
                <a:r>
                  <a:rPr lang="en-US" sz="1200"/>
                  <a:t>Sub-Sector</a:t>
                </a:r>
              </a:p>
            </c:rich>
          </c:tx>
          <c:layout>
            <c:manualLayout>
              <c:xMode val="edge"/>
              <c:yMode val="edge"/>
              <c:x val="0.421500590329253"/>
              <c:y val="0.930018416206261"/>
            </c:manualLayout>
          </c:layout>
          <c:overlay val="0"/>
        </c:title>
        <c:majorTickMark val="out"/>
        <c:minorTickMark val="none"/>
        <c:tickLblPos val="nextTo"/>
        <c:txPr>
          <a:bodyPr/>
          <a:lstStyle/>
          <a:p>
            <a:pPr>
              <a:defRPr sz="1200"/>
            </a:pPr>
            <a:endParaRPr lang="en-US"/>
          </a:p>
        </c:txPr>
        <c:crossAx val="-2114910984"/>
        <c:crosses val="autoZero"/>
        <c:auto val="1"/>
        <c:lblAlgn val="ctr"/>
        <c:lblOffset val="100"/>
        <c:noMultiLvlLbl val="0"/>
      </c:catAx>
      <c:valAx>
        <c:axId val="-2114910984"/>
        <c:scaling>
          <c:orientation val="minMax"/>
        </c:scaling>
        <c:delete val="0"/>
        <c:axPos val="l"/>
        <c:majorGridlines/>
        <c:title>
          <c:tx>
            <c:rich>
              <a:bodyPr rot="-5400000" vert="horz"/>
              <a:lstStyle/>
              <a:p>
                <a:pPr>
                  <a:defRPr sz="1200"/>
                </a:pPr>
                <a:r>
                  <a:rPr lang="en-US" sz="1200"/>
                  <a:t>Annual</a:t>
                </a:r>
                <a:r>
                  <a:rPr lang="en-US" sz="1200" baseline="0"/>
                  <a:t> Harvest ('000mt)</a:t>
                </a:r>
                <a:endParaRPr lang="en-US" sz="1200"/>
              </a:p>
            </c:rich>
          </c:tx>
          <c:layout>
            <c:manualLayout>
              <c:xMode val="edge"/>
              <c:yMode val="edge"/>
              <c:x val="0.00360145229873323"/>
              <c:y val="0.218486680877597"/>
            </c:manualLayout>
          </c:layout>
          <c:overlay val="0"/>
        </c:title>
        <c:numFmt formatCode="0.00" sourceLinked="1"/>
        <c:majorTickMark val="out"/>
        <c:minorTickMark val="none"/>
        <c:tickLblPos val="nextTo"/>
        <c:crossAx val="-2114916552"/>
        <c:crosses val="autoZero"/>
        <c:crossBetween val="between"/>
      </c:valAx>
    </c:plotArea>
    <c:legend>
      <c:legendPos val="r"/>
      <c:overlay val="0"/>
      <c:txPr>
        <a:bodyPr/>
        <a:lstStyle/>
        <a:p>
          <a:pPr>
            <a:defRPr sz="1200"/>
          </a:pPr>
          <a:endParaRPr lang="en-US"/>
        </a:p>
      </c:txPr>
    </c:legend>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836738499792789"/>
          <c:y val="0.0429752066115702"/>
          <c:w val="0.804393805774278"/>
          <c:h val="0.694147592016114"/>
        </c:manualLayout>
      </c:layout>
      <c:barChart>
        <c:barDir val="col"/>
        <c:grouping val="stacked"/>
        <c:varyColors val="0"/>
        <c:ser>
          <c:idx val="0"/>
          <c:order val="0"/>
          <c:tx>
            <c:v>Closed Conditions</c:v>
          </c:tx>
          <c:spPr>
            <a:solidFill>
              <a:srgbClr val="008000"/>
            </a:solidFill>
          </c:spPr>
          <c:invertIfNegative val="0"/>
          <c:cat>
            <c:strRef>
              <c:f>'MSC conditions'!$B$3:$M$3</c:f>
              <c:strCache>
                <c:ptCount val="12"/>
                <c:pt idx="0">
                  <c:v>Oregon pink (2013)</c:v>
                </c:pt>
                <c:pt idx="1">
                  <c:v>W. Greenland prawn (2013)</c:v>
                </c:pt>
                <c:pt idx="2">
                  <c:v>N. Aus prawn (2012)</c:v>
                </c:pt>
                <c:pt idx="3">
                  <c:v>Norwegian arctic prawn (2012)</c:v>
                </c:pt>
                <c:pt idx="4">
                  <c:v>Canada prawn &amp; striped shrimp (2012)</c:v>
                </c:pt>
                <c:pt idx="5">
                  <c:v>Spencer Gulf, Aus king prawn (2011)</c:v>
                </c:pt>
                <c:pt idx="6">
                  <c:v>Suriname seabob (2011)</c:v>
                </c:pt>
                <c:pt idx="7">
                  <c:v>Scotian Shelf prawn #2 (2011)</c:v>
                </c:pt>
                <c:pt idx="8">
                  <c:v>Gulf of St. Lawrence-Esquiman prawn (2009)</c:v>
                </c:pt>
                <c:pt idx="9">
                  <c:v>Scotian Shelf prawn #1 (2008)</c:v>
                </c:pt>
                <c:pt idx="10">
                  <c:v>Gulf of St. Lawrence prawn (2008)</c:v>
                </c:pt>
                <c:pt idx="11">
                  <c:v>Oregon pink (2007)</c:v>
                </c:pt>
              </c:strCache>
            </c:strRef>
          </c:cat>
          <c:val>
            <c:numRef>
              <c:f>'MSC conditions'!$B$4:$M$4</c:f>
              <c:numCache>
                <c:formatCode>General</c:formatCode>
                <c:ptCount val="12"/>
                <c:pt idx="0">
                  <c:v>0.0</c:v>
                </c:pt>
                <c:pt idx="1">
                  <c:v>0.0</c:v>
                </c:pt>
                <c:pt idx="2">
                  <c:v>0.0</c:v>
                </c:pt>
                <c:pt idx="3">
                  <c:v>0.0</c:v>
                </c:pt>
                <c:pt idx="4">
                  <c:v>4.0</c:v>
                </c:pt>
                <c:pt idx="5">
                  <c:v>2.0</c:v>
                </c:pt>
                <c:pt idx="6">
                  <c:v>0.0</c:v>
                </c:pt>
                <c:pt idx="7">
                  <c:v>2.0</c:v>
                </c:pt>
                <c:pt idx="8">
                  <c:v>0.0</c:v>
                </c:pt>
                <c:pt idx="9">
                  <c:v>5.0</c:v>
                </c:pt>
                <c:pt idx="10">
                  <c:v>0.0</c:v>
                </c:pt>
                <c:pt idx="11">
                  <c:v>4.0</c:v>
                </c:pt>
              </c:numCache>
            </c:numRef>
          </c:val>
        </c:ser>
        <c:ser>
          <c:idx val="1"/>
          <c:order val="1"/>
          <c:tx>
            <c:v>Open Conditions: On Target</c:v>
          </c:tx>
          <c:spPr>
            <a:solidFill>
              <a:srgbClr val="FFFF00"/>
            </a:solidFill>
          </c:spPr>
          <c:invertIfNegative val="0"/>
          <c:cat>
            <c:strRef>
              <c:f>'MSC conditions'!$B$3:$M$3</c:f>
              <c:strCache>
                <c:ptCount val="12"/>
                <c:pt idx="0">
                  <c:v>Oregon pink (2013)</c:v>
                </c:pt>
                <c:pt idx="1">
                  <c:v>W. Greenland prawn (2013)</c:v>
                </c:pt>
                <c:pt idx="2">
                  <c:v>N. Aus prawn (2012)</c:v>
                </c:pt>
                <c:pt idx="3">
                  <c:v>Norwegian arctic prawn (2012)</c:v>
                </c:pt>
                <c:pt idx="4">
                  <c:v>Canada prawn &amp; striped shrimp (2012)</c:v>
                </c:pt>
                <c:pt idx="5">
                  <c:v>Spencer Gulf, Aus king prawn (2011)</c:v>
                </c:pt>
                <c:pt idx="6">
                  <c:v>Suriname seabob (2011)</c:v>
                </c:pt>
                <c:pt idx="7">
                  <c:v>Scotian Shelf prawn #2 (2011)</c:v>
                </c:pt>
                <c:pt idx="8">
                  <c:v>Gulf of St. Lawrence-Esquiman prawn (2009)</c:v>
                </c:pt>
                <c:pt idx="9">
                  <c:v>Scotian Shelf prawn #1 (2008)</c:v>
                </c:pt>
                <c:pt idx="10">
                  <c:v>Gulf of St. Lawrence prawn (2008)</c:v>
                </c:pt>
                <c:pt idx="11">
                  <c:v>Oregon pink (2007)</c:v>
                </c:pt>
              </c:strCache>
            </c:strRef>
          </c:cat>
          <c:val>
            <c:numRef>
              <c:f>'MSC conditions'!$B$5:$M$5</c:f>
              <c:numCache>
                <c:formatCode>General</c:formatCode>
                <c:ptCount val="12"/>
                <c:pt idx="0">
                  <c:v>6.0</c:v>
                </c:pt>
                <c:pt idx="1">
                  <c:v>10.0</c:v>
                </c:pt>
                <c:pt idx="2">
                  <c:v>4.0</c:v>
                </c:pt>
                <c:pt idx="3">
                  <c:v>3.0</c:v>
                </c:pt>
                <c:pt idx="4">
                  <c:v>31.0</c:v>
                </c:pt>
                <c:pt idx="5">
                  <c:v>4.0</c:v>
                </c:pt>
                <c:pt idx="6">
                  <c:v>6.0</c:v>
                </c:pt>
                <c:pt idx="7">
                  <c:v>2.0</c:v>
                </c:pt>
                <c:pt idx="8">
                  <c:v>1.0</c:v>
                </c:pt>
                <c:pt idx="9">
                  <c:v>0.0</c:v>
                </c:pt>
                <c:pt idx="10">
                  <c:v>1.0</c:v>
                </c:pt>
                <c:pt idx="11">
                  <c:v>0.0</c:v>
                </c:pt>
              </c:numCache>
            </c:numRef>
          </c:val>
        </c:ser>
        <c:ser>
          <c:idx val="2"/>
          <c:order val="2"/>
          <c:tx>
            <c:v>Open Conditions: Behind Target</c:v>
          </c:tx>
          <c:spPr>
            <a:solidFill>
              <a:srgbClr val="FF0000"/>
            </a:solidFill>
          </c:spPr>
          <c:invertIfNegative val="0"/>
          <c:cat>
            <c:strRef>
              <c:f>'MSC conditions'!$B$3:$M$3</c:f>
              <c:strCache>
                <c:ptCount val="12"/>
                <c:pt idx="0">
                  <c:v>Oregon pink (2013)</c:v>
                </c:pt>
                <c:pt idx="1">
                  <c:v>W. Greenland prawn (2013)</c:v>
                </c:pt>
                <c:pt idx="2">
                  <c:v>N. Aus prawn (2012)</c:v>
                </c:pt>
                <c:pt idx="3">
                  <c:v>Norwegian arctic prawn (2012)</c:v>
                </c:pt>
                <c:pt idx="4">
                  <c:v>Canada prawn &amp; striped shrimp (2012)</c:v>
                </c:pt>
                <c:pt idx="5">
                  <c:v>Spencer Gulf, Aus king prawn (2011)</c:v>
                </c:pt>
                <c:pt idx="6">
                  <c:v>Suriname seabob (2011)</c:v>
                </c:pt>
                <c:pt idx="7">
                  <c:v>Scotian Shelf prawn #2 (2011)</c:v>
                </c:pt>
                <c:pt idx="8">
                  <c:v>Gulf of St. Lawrence-Esquiman prawn (2009)</c:v>
                </c:pt>
                <c:pt idx="9">
                  <c:v>Scotian Shelf prawn #1 (2008)</c:v>
                </c:pt>
                <c:pt idx="10">
                  <c:v>Gulf of St. Lawrence prawn (2008)</c:v>
                </c:pt>
                <c:pt idx="11">
                  <c:v>Oregon pink (2007)</c:v>
                </c:pt>
              </c:strCache>
            </c:strRef>
          </c:cat>
          <c:val>
            <c:numRef>
              <c:f>'MSC conditions'!$B$6:$M$6</c:f>
              <c:numCache>
                <c:formatCode>General</c:formatCode>
                <c:ptCount val="12"/>
                <c:pt idx="0">
                  <c:v>0.0</c:v>
                </c:pt>
                <c:pt idx="1">
                  <c:v>0.0</c:v>
                </c:pt>
                <c:pt idx="2">
                  <c:v>0.0</c:v>
                </c:pt>
                <c:pt idx="3">
                  <c:v>0.0</c:v>
                </c:pt>
                <c:pt idx="4">
                  <c:v>0.0</c:v>
                </c:pt>
                <c:pt idx="5">
                  <c:v>1.0</c:v>
                </c:pt>
                <c:pt idx="6">
                  <c:v>0.0</c:v>
                </c:pt>
                <c:pt idx="7">
                  <c:v>0.0</c:v>
                </c:pt>
                <c:pt idx="8">
                  <c:v>2.0</c:v>
                </c:pt>
                <c:pt idx="9">
                  <c:v>0.0</c:v>
                </c:pt>
                <c:pt idx="10">
                  <c:v>2.0</c:v>
                </c:pt>
                <c:pt idx="11">
                  <c:v>0.0</c:v>
                </c:pt>
              </c:numCache>
            </c:numRef>
          </c:val>
        </c:ser>
        <c:dLbls>
          <c:showLegendKey val="0"/>
          <c:showVal val="0"/>
          <c:showCatName val="0"/>
          <c:showSerName val="0"/>
          <c:showPercent val="0"/>
          <c:showBubbleSize val="0"/>
        </c:dLbls>
        <c:gapWidth val="75"/>
        <c:overlap val="100"/>
        <c:axId val="-2096637128"/>
        <c:axId val="-2096634120"/>
      </c:barChart>
      <c:catAx>
        <c:axId val="-2096637128"/>
        <c:scaling>
          <c:orientation val="minMax"/>
        </c:scaling>
        <c:delete val="0"/>
        <c:axPos val="b"/>
        <c:majorTickMark val="out"/>
        <c:minorTickMark val="none"/>
        <c:tickLblPos val="nextTo"/>
        <c:txPr>
          <a:bodyPr rot="-5400000" vert="horz" lIns="0">
            <a:noAutofit/>
          </a:bodyPr>
          <a:lstStyle/>
          <a:p>
            <a:pPr>
              <a:defRPr sz="1000"/>
            </a:pPr>
            <a:endParaRPr lang="en-US"/>
          </a:p>
        </c:txPr>
        <c:crossAx val="-2096634120"/>
        <c:crosses val="autoZero"/>
        <c:auto val="1"/>
        <c:lblAlgn val="ctr"/>
        <c:lblOffset val="100"/>
        <c:noMultiLvlLbl val="0"/>
      </c:catAx>
      <c:valAx>
        <c:axId val="-2096634120"/>
        <c:scaling>
          <c:orientation val="minMax"/>
        </c:scaling>
        <c:delete val="0"/>
        <c:axPos val="l"/>
        <c:majorGridlines/>
        <c:title>
          <c:tx>
            <c:rich>
              <a:bodyPr rot="-5400000" vert="horz"/>
              <a:lstStyle/>
              <a:p>
                <a:pPr>
                  <a:defRPr sz="1200"/>
                </a:pPr>
                <a:r>
                  <a:rPr lang="en-US" sz="1200"/>
                  <a:t>Number of MSC</a:t>
                </a:r>
                <a:r>
                  <a:rPr lang="en-US" sz="1200" baseline="0"/>
                  <a:t> Conditions</a:t>
                </a:r>
                <a:endParaRPr lang="en-US" sz="1200"/>
              </a:p>
            </c:rich>
          </c:tx>
          <c:layout>
            <c:manualLayout>
              <c:xMode val="edge"/>
              <c:yMode val="edge"/>
              <c:x val="0.0235457063711911"/>
              <c:y val="0.230719073338973"/>
            </c:manualLayout>
          </c:layout>
          <c:overlay val="0"/>
        </c:title>
        <c:numFmt formatCode="General" sourceLinked="1"/>
        <c:majorTickMark val="out"/>
        <c:minorTickMark val="none"/>
        <c:tickLblPos val="nextTo"/>
        <c:crossAx val="-2096637128"/>
        <c:crosses val="autoZero"/>
        <c:crossBetween val="between"/>
      </c:valAx>
    </c:plotArea>
    <c:legend>
      <c:legendPos val="r"/>
      <c:layout>
        <c:manualLayout>
          <c:xMode val="edge"/>
          <c:yMode val="edge"/>
          <c:x val="0.883628031496063"/>
          <c:y val="0.131295927270377"/>
          <c:w val="0.11360187144197"/>
          <c:h val="0.572860605146655"/>
        </c:manualLayout>
      </c:layout>
      <c:overlay val="0"/>
      <c:txPr>
        <a:bodyPr/>
        <a:lstStyle/>
        <a:p>
          <a:pPr>
            <a:defRPr sz="1200"/>
          </a:pPr>
          <a:endParaRPr lang="en-US"/>
        </a:p>
      </c:txPr>
    </c:legend>
    <c:plotVisOnly val="1"/>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60055774278215"/>
          <c:y val="0.0393518518518518"/>
          <c:w val="0.494444444444444"/>
          <c:h val="0.824074074074074"/>
        </c:manualLayout>
      </c:layout>
      <c:pieChart>
        <c:varyColors val="1"/>
        <c:ser>
          <c:idx val="0"/>
          <c:order val="0"/>
          <c:dLbls>
            <c:dLbl>
              <c:idx val="2"/>
              <c:layout>
                <c:manualLayout>
                  <c:x val="0.129652012248469"/>
                  <c:y val="0.0"/>
                </c:manualLayout>
              </c:layout>
              <c:showLegendKey val="0"/>
              <c:showVal val="0"/>
              <c:showCatName val="1"/>
              <c:showSerName val="0"/>
              <c:showPercent val="1"/>
              <c:showBubbleSize val="0"/>
            </c:dLbl>
            <c:dLbl>
              <c:idx val="3"/>
              <c:layout>
                <c:manualLayout>
                  <c:x val="-0.0256139545056868"/>
                  <c:y val="0.0227431466899971"/>
                </c:manualLayout>
              </c:layout>
              <c:showLegendKey val="0"/>
              <c:showVal val="0"/>
              <c:showCatName val="1"/>
              <c:showSerName val="0"/>
              <c:showPercent val="1"/>
              <c:showBubbleSize val="0"/>
            </c:dLbl>
            <c:dLbl>
              <c:idx val="4"/>
              <c:layout>
                <c:manualLayout>
                  <c:x val="-0.0194831583552056"/>
                  <c:y val="0.00212197433654127"/>
                </c:manualLayout>
              </c:layout>
              <c:showLegendKey val="0"/>
              <c:showVal val="0"/>
              <c:showCatName val="1"/>
              <c:showSerName val="0"/>
              <c:showPercent val="1"/>
              <c:showBubbleSize val="0"/>
            </c:dLbl>
            <c:dLbl>
              <c:idx val="5"/>
              <c:layout>
                <c:manualLayout>
                  <c:x val="-0.0115219816272966"/>
                  <c:y val="0.00559492563429571"/>
                </c:manualLayout>
              </c:layout>
              <c:showLegendKey val="0"/>
              <c:showVal val="0"/>
              <c:showCatName val="1"/>
              <c:showSerName val="0"/>
              <c:showPercent val="1"/>
              <c:showBubbleSize val="0"/>
            </c:dLbl>
            <c:dLbl>
              <c:idx val="6"/>
              <c:layout>
                <c:manualLayout>
                  <c:x val="-0.00609755030621172"/>
                  <c:y val="-0.0167953484981044"/>
                </c:manualLayout>
              </c:layout>
              <c:showLegendKey val="0"/>
              <c:showVal val="0"/>
              <c:showCatName val="1"/>
              <c:showSerName val="0"/>
              <c:showPercent val="1"/>
              <c:showBubbleSize val="0"/>
            </c:dLbl>
            <c:dLbl>
              <c:idx val="7"/>
              <c:layout>
                <c:manualLayout>
                  <c:x val="-0.0214768153980752"/>
                  <c:y val="-0.0221515018955964"/>
                </c:manualLayout>
              </c:layout>
              <c:showLegendKey val="0"/>
              <c:showVal val="0"/>
              <c:showCatName val="1"/>
              <c:showSerName val="0"/>
              <c:showPercent val="1"/>
              <c:showBubbleSize val="0"/>
            </c:dLbl>
            <c:dLbl>
              <c:idx val="8"/>
              <c:layout>
                <c:manualLayout>
                  <c:x val="-0.00793832020997375"/>
                  <c:y val="-0.0373786089238845"/>
                </c:manualLayout>
              </c:layout>
              <c:showLegendKey val="0"/>
              <c:showVal val="0"/>
              <c:showCatName val="1"/>
              <c:showSerName val="0"/>
              <c:showPercent val="1"/>
              <c:showBubbleSize val="0"/>
            </c:dLbl>
            <c:dLbl>
              <c:idx val="9"/>
              <c:layout>
                <c:manualLayout>
                  <c:x val="-0.0244265091863517"/>
                  <c:y val="-0.097121245261009"/>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'FAO (2 - by country)'!$H$4:$H$14</c:f>
              <c:strCache>
                <c:ptCount val="11"/>
                <c:pt idx="0">
                  <c:v>China</c:v>
                </c:pt>
                <c:pt idx="1">
                  <c:v>India</c:v>
                </c:pt>
                <c:pt idx="2">
                  <c:v>Indonesia</c:v>
                </c:pt>
                <c:pt idx="3">
                  <c:v>Canada</c:v>
                </c:pt>
                <c:pt idx="4">
                  <c:v>Vietnam</c:v>
                </c:pt>
                <c:pt idx="5">
                  <c:v>United States</c:v>
                </c:pt>
                <c:pt idx="6">
                  <c:v>Greenland</c:v>
                </c:pt>
                <c:pt idx="7">
                  <c:v>Malaysia</c:v>
                </c:pt>
                <c:pt idx="8">
                  <c:v>Argentina</c:v>
                </c:pt>
                <c:pt idx="9">
                  <c:v>Mexico</c:v>
                </c:pt>
                <c:pt idx="10">
                  <c:v>94 Others</c:v>
                </c:pt>
              </c:strCache>
            </c:strRef>
          </c:cat>
          <c:val>
            <c:numRef>
              <c:f>'FAO (2 - by country)'!$I$4:$I$14</c:f>
              <c:numCache>
                <c:formatCode>_(* #,##0_);_(* \(#,##0\);_(* "-"??_);_(@_)</c:formatCode>
                <c:ptCount val="11"/>
                <c:pt idx="0">
                  <c:v>1.161822E6</c:v>
                </c:pt>
                <c:pt idx="1">
                  <c:v>343480.0</c:v>
                </c:pt>
                <c:pt idx="2">
                  <c:v>239419.0</c:v>
                </c:pt>
                <c:pt idx="3">
                  <c:v>158023.0</c:v>
                </c:pt>
                <c:pt idx="4">
                  <c:v>152500.0</c:v>
                </c:pt>
                <c:pt idx="5">
                  <c:v>129737.5</c:v>
                </c:pt>
                <c:pt idx="6">
                  <c:v>121019.0</c:v>
                </c:pt>
                <c:pt idx="7">
                  <c:v>112565.0</c:v>
                </c:pt>
                <c:pt idx="8">
                  <c:v>77650.5</c:v>
                </c:pt>
                <c:pt idx="9">
                  <c:v>69819.9</c:v>
                </c:pt>
                <c:pt idx="10">
                  <c:v>636952.0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14</xdr:col>
      <xdr:colOff>0</xdr:colOff>
      <xdr:row>9</xdr:row>
      <xdr:rowOff>0</xdr:rowOff>
    </xdr:from>
    <xdr:to>
      <xdr:col>17</xdr:col>
      <xdr:colOff>736600</xdr:colOff>
      <xdr:row>16</xdr:row>
      <xdr:rowOff>266700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7</xdr:row>
      <xdr:rowOff>266700</xdr:rowOff>
    </xdr:from>
    <xdr:to>
      <xdr:col>14</xdr:col>
      <xdr:colOff>1206500</xdr:colOff>
      <xdr:row>15</xdr:row>
      <xdr:rowOff>50800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641350</xdr:colOff>
      <xdr:row>7</xdr:row>
      <xdr:rowOff>247650</xdr:rowOff>
    </xdr:from>
    <xdr:to>
      <xdr:col>15</xdr:col>
      <xdr:colOff>660400</xdr:colOff>
      <xdr:row>17</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1625600" y="2032000"/>
    <xdr:ext cx="9525000" cy="464185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5.xml><?xml version="1.0" encoding="utf-8"?>
<xdr:wsDr xmlns:xdr="http://schemas.openxmlformats.org/drawingml/2006/spreadsheetDrawing" xmlns:a="http://schemas.openxmlformats.org/drawingml/2006/main">
  <xdr:twoCellAnchor>
    <xdr:from>
      <xdr:col>5</xdr:col>
      <xdr:colOff>133350</xdr:colOff>
      <xdr:row>15</xdr:row>
      <xdr:rowOff>133350</xdr:rowOff>
    </xdr:from>
    <xdr:to>
      <xdr:col>9</xdr:col>
      <xdr:colOff>520700</xdr:colOff>
      <xdr:row>31</xdr:row>
      <xdr:rowOff>12700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0"/>
  <sheetViews>
    <sheetView tabSelected="1" zoomScale="80" zoomScaleNormal="80" zoomScalePageLayoutView="80" workbookViewId="0"/>
  </sheetViews>
  <sheetFormatPr baseColWidth="10" defaultColWidth="11.1640625" defaultRowHeight="15" x14ac:dyDescent="0"/>
  <cols>
    <col min="1" max="1" width="71.6640625" customWidth="1"/>
    <col min="2" max="2" width="13.6640625" customWidth="1"/>
    <col min="7" max="7" width="13.1640625" customWidth="1"/>
    <col min="8" max="8" width="14.1640625" customWidth="1"/>
    <col min="12" max="12" width="91.83203125" style="147" bestFit="1" customWidth="1"/>
  </cols>
  <sheetData>
    <row r="1" spans="1:12" ht="46" thickBot="1">
      <c r="A1" s="74" t="s">
        <v>0</v>
      </c>
      <c r="B1" s="85" t="s">
        <v>1</v>
      </c>
      <c r="C1" s="85" t="s">
        <v>2</v>
      </c>
      <c r="D1" s="85" t="s">
        <v>3</v>
      </c>
      <c r="E1" s="85" t="s">
        <v>4</v>
      </c>
      <c r="F1" s="85" t="s">
        <v>5</v>
      </c>
      <c r="G1" s="86" t="s">
        <v>6</v>
      </c>
      <c r="H1" s="75" t="s">
        <v>438</v>
      </c>
      <c r="I1" s="75" t="s">
        <v>7</v>
      </c>
      <c r="J1" s="87" t="s">
        <v>8</v>
      </c>
      <c r="K1" s="75" t="s">
        <v>45</v>
      </c>
      <c r="L1" s="176" t="s">
        <v>36</v>
      </c>
    </row>
    <row r="2" spans="1:12" s="12" customFormat="1">
      <c r="A2" s="71" t="s">
        <v>31</v>
      </c>
      <c r="B2" s="47"/>
      <c r="C2" s="47"/>
      <c r="D2" s="47"/>
      <c r="E2" s="47"/>
      <c r="F2" s="47"/>
      <c r="G2" s="72"/>
      <c r="H2" s="73"/>
      <c r="I2" s="73"/>
      <c r="J2" s="73"/>
      <c r="K2" s="73"/>
      <c r="L2" s="177"/>
    </row>
    <row r="3" spans="1:12" ht="56">
      <c r="A3" s="180" t="s">
        <v>56</v>
      </c>
      <c r="B3" s="3" t="s">
        <v>11</v>
      </c>
      <c r="C3" s="3" t="s">
        <v>11</v>
      </c>
      <c r="D3" s="3" t="s">
        <v>11</v>
      </c>
      <c r="E3" s="4" t="s">
        <v>12</v>
      </c>
      <c r="F3" s="4" t="s">
        <v>12</v>
      </c>
      <c r="G3" s="5" t="s">
        <v>13</v>
      </c>
      <c r="H3" s="6">
        <v>19.63</v>
      </c>
      <c r="I3" s="6">
        <v>2011</v>
      </c>
      <c r="J3" s="49" t="s">
        <v>14</v>
      </c>
      <c r="K3" s="7" t="s">
        <v>10</v>
      </c>
      <c r="L3" s="179" t="s">
        <v>120</v>
      </c>
    </row>
    <row r="4" spans="1:12" ht="57" thickBot="1">
      <c r="A4" s="193" t="s">
        <v>57</v>
      </c>
      <c r="B4" s="8" t="s">
        <v>15</v>
      </c>
      <c r="C4" s="8" t="s">
        <v>15</v>
      </c>
      <c r="D4" s="9" t="s">
        <v>12</v>
      </c>
      <c r="E4" s="8" t="s">
        <v>15</v>
      </c>
      <c r="F4" s="8" t="s">
        <v>15</v>
      </c>
      <c r="G4" s="10" t="s">
        <v>16</v>
      </c>
      <c r="H4" s="11">
        <v>7.6</v>
      </c>
      <c r="I4" s="11">
        <v>2011</v>
      </c>
      <c r="J4" s="50" t="s">
        <v>10</v>
      </c>
      <c r="K4" s="11" t="s">
        <v>46</v>
      </c>
      <c r="L4" s="181" t="s">
        <v>426</v>
      </c>
    </row>
    <row r="5" spans="1:12" s="22" customFormat="1" ht="113" thickBot="1">
      <c r="A5" s="194" t="s">
        <v>62</v>
      </c>
      <c r="B5" s="31" t="s">
        <v>11</v>
      </c>
      <c r="C5" s="31" t="s">
        <v>11</v>
      </c>
      <c r="D5" s="31" t="s">
        <v>11</v>
      </c>
      <c r="E5" s="31" t="s">
        <v>11</v>
      </c>
      <c r="F5" s="31" t="s">
        <v>11</v>
      </c>
      <c r="G5" s="10" t="s">
        <v>13</v>
      </c>
      <c r="H5" s="11">
        <v>260</v>
      </c>
      <c r="I5" s="11">
        <v>2011</v>
      </c>
      <c r="J5" s="50" t="s">
        <v>17</v>
      </c>
      <c r="K5" s="50" t="s">
        <v>10</v>
      </c>
      <c r="L5" s="181" t="s">
        <v>123</v>
      </c>
    </row>
    <row r="6" spans="1:12" ht="31" thickBot="1">
      <c r="A6" s="194" t="s">
        <v>130</v>
      </c>
      <c r="B6" s="21" t="s">
        <v>15</v>
      </c>
      <c r="C6" s="21" t="s">
        <v>15</v>
      </c>
      <c r="D6" s="30" t="s">
        <v>15</v>
      </c>
      <c r="E6" s="30" t="s">
        <v>15</v>
      </c>
      <c r="F6" s="95" t="s">
        <v>15</v>
      </c>
      <c r="G6" s="10" t="s">
        <v>21</v>
      </c>
      <c r="H6" s="221">
        <v>7.14</v>
      </c>
      <c r="I6" s="221">
        <v>2011</v>
      </c>
      <c r="J6" s="50" t="s">
        <v>10</v>
      </c>
      <c r="K6" s="11" t="s">
        <v>47</v>
      </c>
      <c r="L6" s="181" t="s">
        <v>34</v>
      </c>
    </row>
    <row r="7" spans="1:12" s="22" customFormat="1" ht="57" thickBot="1">
      <c r="A7" s="178" t="s">
        <v>131</v>
      </c>
      <c r="B7" s="21" t="s">
        <v>15</v>
      </c>
      <c r="C7" s="21" t="s">
        <v>15</v>
      </c>
      <c r="D7" s="30" t="s">
        <v>15</v>
      </c>
      <c r="E7" s="30" t="s">
        <v>15</v>
      </c>
      <c r="F7" s="95" t="s">
        <v>15</v>
      </c>
      <c r="G7" s="10" t="s">
        <v>21</v>
      </c>
      <c r="H7" s="222"/>
      <c r="I7" s="222"/>
      <c r="J7" s="50" t="s">
        <v>10</v>
      </c>
      <c r="K7" s="11" t="s">
        <v>49</v>
      </c>
      <c r="L7" s="181" t="s">
        <v>99</v>
      </c>
    </row>
    <row r="8" spans="1:12" s="22" customFormat="1" ht="16" thickBot="1">
      <c r="A8" s="194" t="s">
        <v>55</v>
      </c>
      <c r="B8" s="23" t="s">
        <v>12</v>
      </c>
      <c r="C8" s="31" t="s">
        <v>11</v>
      </c>
      <c r="D8" s="31" t="s">
        <v>11</v>
      </c>
      <c r="E8" s="23" t="s">
        <v>12</v>
      </c>
      <c r="F8" s="23" t="s">
        <v>12</v>
      </c>
      <c r="G8" s="10" t="s">
        <v>13</v>
      </c>
      <c r="H8" s="11">
        <v>0.37</v>
      </c>
      <c r="I8" s="11">
        <v>2012</v>
      </c>
      <c r="J8" s="50" t="s">
        <v>18</v>
      </c>
      <c r="K8" s="51" t="s">
        <v>10</v>
      </c>
      <c r="L8" s="181" t="s">
        <v>35</v>
      </c>
    </row>
    <row r="9" spans="1:12" s="12" customFormat="1">
      <c r="A9" s="196" t="s">
        <v>32</v>
      </c>
      <c r="B9" s="43"/>
      <c r="C9" s="43"/>
      <c r="D9" s="43"/>
      <c r="E9" s="43"/>
      <c r="F9" s="43"/>
      <c r="G9" s="44"/>
      <c r="H9" s="45"/>
      <c r="I9" s="45"/>
      <c r="J9" s="53"/>
      <c r="K9" s="45"/>
      <c r="L9" s="182"/>
    </row>
    <row r="10" spans="1:12">
      <c r="A10" s="180" t="s">
        <v>97</v>
      </c>
      <c r="B10" s="4" t="s">
        <v>12</v>
      </c>
      <c r="C10" s="32" t="s">
        <v>11</v>
      </c>
      <c r="D10" s="3" t="s">
        <v>11</v>
      </c>
      <c r="E10" s="4" t="s">
        <v>12</v>
      </c>
      <c r="F10" s="4" t="s">
        <v>12</v>
      </c>
      <c r="G10" s="5" t="s">
        <v>13</v>
      </c>
      <c r="H10" s="6">
        <v>6.3</v>
      </c>
      <c r="I10" s="6">
        <v>2012</v>
      </c>
      <c r="J10" s="49" t="s">
        <v>18</v>
      </c>
      <c r="K10" s="54" t="s">
        <v>10</v>
      </c>
      <c r="L10" s="183" t="s">
        <v>98</v>
      </c>
    </row>
    <row r="11" spans="1:12" ht="29" thickBot="1">
      <c r="A11" s="195" t="s">
        <v>96</v>
      </c>
      <c r="B11" s="9" t="s">
        <v>12</v>
      </c>
      <c r="C11" s="88" t="s">
        <v>11</v>
      </c>
      <c r="D11" s="13" t="s">
        <v>11</v>
      </c>
      <c r="E11" s="9" t="s">
        <v>12</v>
      </c>
      <c r="F11" s="9" t="s">
        <v>12</v>
      </c>
      <c r="G11" s="10" t="s">
        <v>13</v>
      </c>
      <c r="H11" s="11">
        <v>4.2</v>
      </c>
      <c r="I11" s="11">
        <v>2012</v>
      </c>
      <c r="J11" s="174" t="s">
        <v>18</v>
      </c>
      <c r="K11" s="11" t="s">
        <v>10</v>
      </c>
      <c r="L11" s="181" t="s">
        <v>37</v>
      </c>
    </row>
    <row r="12" spans="1:12" s="12" customFormat="1">
      <c r="A12" s="196" t="s">
        <v>19</v>
      </c>
      <c r="B12" s="47"/>
      <c r="C12" s="47"/>
      <c r="D12" s="47"/>
      <c r="E12" s="47"/>
      <c r="F12" s="47"/>
      <c r="G12" s="35"/>
      <c r="H12" s="36"/>
      <c r="I12" s="38"/>
      <c r="J12" s="36"/>
      <c r="K12" s="36"/>
      <c r="L12" s="184"/>
    </row>
    <row r="13" spans="1:12" s="22" customFormat="1">
      <c r="A13" s="180" t="s">
        <v>92</v>
      </c>
      <c r="B13" s="16" t="s">
        <v>12</v>
      </c>
      <c r="C13" s="32" t="s">
        <v>11</v>
      </c>
      <c r="D13" s="17" t="s">
        <v>11</v>
      </c>
      <c r="E13" s="16" t="s">
        <v>12</v>
      </c>
      <c r="F13" s="16" t="s">
        <v>12</v>
      </c>
      <c r="G13" s="5" t="s">
        <v>13</v>
      </c>
      <c r="H13" s="6">
        <v>3.4</v>
      </c>
      <c r="I13" s="6">
        <v>2012</v>
      </c>
      <c r="J13" s="49" t="s">
        <v>18</v>
      </c>
      <c r="K13" s="6" t="s">
        <v>10</v>
      </c>
      <c r="L13" s="183" t="s">
        <v>98</v>
      </c>
    </row>
    <row r="14" spans="1:12" s="22" customFormat="1" ht="29" thickBot="1">
      <c r="A14" s="195" t="s">
        <v>93</v>
      </c>
      <c r="B14" s="18" t="s">
        <v>12</v>
      </c>
      <c r="C14" s="31" t="s">
        <v>11</v>
      </c>
      <c r="D14" s="19" t="s">
        <v>11</v>
      </c>
      <c r="E14" s="18" t="s">
        <v>12</v>
      </c>
      <c r="F14" s="18" t="s">
        <v>12</v>
      </c>
      <c r="G14" s="10" t="s">
        <v>13</v>
      </c>
      <c r="H14" s="11">
        <v>4.8499999999999996</v>
      </c>
      <c r="I14" s="11">
        <v>2012</v>
      </c>
      <c r="J14" s="50" t="s">
        <v>18</v>
      </c>
      <c r="K14" s="11" t="s">
        <v>10</v>
      </c>
      <c r="L14" s="181" t="s">
        <v>37</v>
      </c>
    </row>
    <row r="15" spans="1:12">
      <c r="A15" s="196" t="s">
        <v>20</v>
      </c>
      <c r="B15" s="43"/>
      <c r="C15" s="43"/>
      <c r="D15" s="43"/>
      <c r="E15" s="43"/>
      <c r="F15" s="43"/>
      <c r="G15" s="44"/>
      <c r="H15" s="45"/>
      <c r="I15" s="48"/>
      <c r="J15" s="45"/>
      <c r="K15" s="45"/>
      <c r="L15" s="182"/>
    </row>
    <row r="16" spans="1:12" s="22" customFormat="1">
      <c r="A16" s="180" t="s">
        <v>94</v>
      </c>
      <c r="B16" s="16" t="s">
        <v>12</v>
      </c>
      <c r="C16" s="32" t="s">
        <v>11</v>
      </c>
      <c r="D16" s="17" t="s">
        <v>11</v>
      </c>
      <c r="E16" s="16" t="s">
        <v>12</v>
      </c>
      <c r="F16" s="16" t="s">
        <v>12</v>
      </c>
      <c r="G16" s="5" t="s">
        <v>13</v>
      </c>
      <c r="H16" s="6">
        <v>0.75</v>
      </c>
      <c r="I16" s="6">
        <v>2012</v>
      </c>
      <c r="J16" s="49" t="s">
        <v>10</v>
      </c>
      <c r="K16" s="6" t="s">
        <v>10</v>
      </c>
      <c r="L16" s="183" t="s">
        <v>98</v>
      </c>
    </row>
    <row r="17" spans="1:12" s="22" customFormat="1" ht="29" thickBot="1">
      <c r="A17" s="178" t="s">
        <v>95</v>
      </c>
      <c r="B17" s="18" t="s">
        <v>12</v>
      </c>
      <c r="C17" s="31" t="s">
        <v>11</v>
      </c>
      <c r="D17" s="19" t="s">
        <v>11</v>
      </c>
      <c r="E17" s="18" t="s">
        <v>12</v>
      </c>
      <c r="F17" s="18" t="s">
        <v>12</v>
      </c>
      <c r="G17" s="10" t="s">
        <v>13</v>
      </c>
      <c r="H17" s="11">
        <v>1.2</v>
      </c>
      <c r="I17" s="11">
        <v>2012</v>
      </c>
      <c r="J17" s="50" t="s">
        <v>18</v>
      </c>
      <c r="K17" s="11" t="s">
        <v>10</v>
      </c>
      <c r="L17" s="181" t="s">
        <v>37</v>
      </c>
    </row>
    <row r="18" spans="1:12" s="22" customFormat="1" ht="31" thickBot="1">
      <c r="A18" s="194" t="s">
        <v>58</v>
      </c>
      <c r="B18" s="30" t="s">
        <v>15</v>
      </c>
      <c r="C18" s="30" t="s">
        <v>15</v>
      </c>
      <c r="D18" s="95" t="s">
        <v>15</v>
      </c>
      <c r="E18" s="21">
        <v>9.6</v>
      </c>
      <c r="F18" s="30" t="s">
        <v>15</v>
      </c>
      <c r="G18" s="10" t="s">
        <v>21</v>
      </c>
      <c r="H18" s="226">
        <v>0.749</v>
      </c>
      <c r="I18" s="226">
        <v>2011</v>
      </c>
      <c r="J18" s="50" t="s">
        <v>10</v>
      </c>
      <c r="K18" s="11" t="s">
        <v>47</v>
      </c>
      <c r="L18" s="181" t="s">
        <v>34</v>
      </c>
    </row>
    <row r="19" spans="1:12" s="22" customFormat="1" ht="31" thickBot="1">
      <c r="A19" s="194" t="s">
        <v>459</v>
      </c>
      <c r="B19" s="30" t="s">
        <v>15</v>
      </c>
      <c r="C19" s="30" t="s">
        <v>15</v>
      </c>
      <c r="D19" s="95" t="s">
        <v>15</v>
      </c>
      <c r="E19" s="21">
        <v>10</v>
      </c>
      <c r="F19" s="30" t="s">
        <v>15</v>
      </c>
      <c r="G19" s="10" t="s">
        <v>21</v>
      </c>
      <c r="H19" s="227"/>
      <c r="I19" s="227"/>
      <c r="J19" s="50" t="s">
        <v>10</v>
      </c>
      <c r="K19" s="11" t="s">
        <v>47</v>
      </c>
      <c r="L19" s="181" t="s">
        <v>34</v>
      </c>
    </row>
    <row r="20" spans="1:12" s="22" customFormat="1" ht="31" thickBot="1">
      <c r="A20" s="194" t="s">
        <v>461</v>
      </c>
      <c r="B20" s="30" t="s">
        <v>15</v>
      </c>
      <c r="C20" s="30" t="s">
        <v>15</v>
      </c>
      <c r="D20" s="95" t="s">
        <v>15</v>
      </c>
      <c r="E20" s="95" t="s">
        <v>15</v>
      </c>
      <c r="F20" s="30" t="s">
        <v>15</v>
      </c>
      <c r="G20" s="10" t="s">
        <v>21</v>
      </c>
      <c r="H20" s="221">
        <v>0.44</v>
      </c>
      <c r="I20" s="221">
        <v>2011</v>
      </c>
      <c r="J20" s="50" t="s">
        <v>10</v>
      </c>
      <c r="K20" s="11" t="s">
        <v>47</v>
      </c>
      <c r="L20" s="181" t="s">
        <v>34</v>
      </c>
    </row>
    <row r="21" spans="1:12" s="22" customFormat="1" ht="31" thickBot="1">
      <c r="A21" s="194" t="s">
        <v>460</v>
      </c>
      <c r="B21" s="30" t="s">
        <v>15</v>
      </c>
      <c r="C21" s="30" t="s">
        <v>15</v>
      </c>
      <c r="D21" s="95" t="s">
        <v>15</v>
      </c>
      <c r="E21" s="95" t="s">
        <v>15</v>
      </c>
      <c r="F21" s="30" t="s">
        <v>15</v>
      </c>
      <c r="G21" s="10" t="s">
        <v>21</v>
      </c>
      <c r="H21" s="222"/>
      <c r="I21" s="222"/>
      <c r="J21" s="50" t="s">
        <v>10</v>
      </c>
      <c r="K21" s="11" t="s">
        <v>47</v>
      </c>
      <c r="L21" s="181" t="s">
        <v>34</v>
      </c>
    </row>
    <row r="22" spans="1:12">
      <c r="A22" s="41" t="s">
        <v>22</v>
      </c>
      <c r="B22" s="43"/>
      <c r="C22" s="43"/>
      <c r="D22" s="43"/>
      <c r="E22" s="43"/>
      <c r="F22" s="43"/>
      <c r="G22" s="1"/>
      <c r="H22" s="2"/>
      <c r="I22" s="2"/>
      <c r="J22" s="55"/>
      <c r="K22" s="55"/>
      <c r="L22" s="184"/>
    </row>
    <row r="23" spans="1:12" s="22" customFormat="1" ht="57" thickBot="1">
      <c r="A23" s="211" t="s">
        <v>82</v>
      </c>
      <c r="B23" s="210" t="s">
        <v>9</v>
      </c>
      <c r="C23" s="210" t="s">
        <v>9</v>
      </c>
      <c r="D23" s="210" t="s">
        <v>9</v>
      </c>
      <c r="E23" s="210" t="s">
        <v>9</v>
      </c>
      <c r="F23" s="210" t="s">
        <v>9</v>
      </c>
      <c r="G23" s="10" t="s">
        <v>10</v>
      </c>
      <c r="H23" s="141">
        <v>4.28</v>
      </c>
      <c r="I23" s="141">
        <v>2011</v>
      </c>
      <c r="J23" s="50" t="s">
        <v>17</v>
      </c>
      <c r="K23" s="49" t="s">
        <v>10</v>
      </c>
      <c r="L23" s="181" t="s">
        <v>122</v>
      </c>
    </row>
    <row r="24" spans="1:12" s="22" customFormat="1" ht="85" thickBot="1">
      <c r="A24" s="193" t="s">
        <v>81</v>
      </c>
      <c r="B24" s="25" t="s">
        <v>12</v>
      </c>
      <c r="C24" s="25" t="s">
        <v>12</v>
      </c>
      <c r="D24" s="27" t="s">
        <v>15</v>
      </c>
      <c r="E24" s="27" t="s">
        <v>15</v>
      </c>
      <c r="F24" s="33">
        <v>6.7</v>
      </c>
      <c r="G24" s="5" t="s">
        <v>16</v>
      </c>
      <c r="H24" s="140">
        <v>6.45</v>
      </c>
      <c r="I24" s="140">
        <v>2011</v>
      </c>
      <c r="J24" s="49" t="s">
        <v>17</v>
      </c>
      <c r="K24" s="49" t="s">
        <v>10</v>
      </c>
      <c r="L24" s="185" t="s">
        <v>121</v>
      </c>
    </row>
    <row r="25" spans="1:12" s="12" customFormat="1" ht="70">
      <c r="A25" s="196" t="s">
        <v>102</v>
      </c>
      <c r="B25" s="24" t="s">
        <v>15</v>
      </c>
      <c r="C25" s="14" t="s">
        <v>12</v>
      </c>
      <c r="D25" s="14" t="s">
        <v>12</v>
      </c>
      <c r="E25" s="24" t="s">
        <v>15</v>
      </c>
      <c r="F25" s="24" t="s">
        <v>15</v>
      </c>
      <c r="G25" s="1" t="s">
        <v>16</v>
      </c>
      <c r="H25" s="2">
        <v>53.23</v>
      </c>
      <c r="I25" s="2">
        <v>2011</v>
      </c>
      <c r="J25" s="55" t="s">
        <v>10</v>
      </c>
      <c r="K25" s="49" t="s">
        <v>10</v>
      </c>
      <c r="L25" s="186" t="s">
        <v>124</v>
      </c>
    </row>
    <row r="26" spans="1:12" s="22" customFormat="1" ht="56">
      <c r="A26" s="180" t="s">
        <v>103</v>
      </c>
      <c r="B26" s="26" t="s">
        <v>15</v>
      </c>
      <c r="C26" s="26" t="s">
        <v>15</v>
      </c>
      <c r="D26" s="25" t="s">
        <v>12</v>
      </c>
      <c r="E26" s="26" t="s">
        <v>15</v>
      </c>
      <c r="F26" s="26" t="s">
        <v>15</v>
      </c>
      <c r="G26" s="5" t="s">
        <v>16</v>
      </c>
      <c r="H26" s="6">
        <v>4.83</v>
      </c>
      <c r="I26" s="6">
        <v>2011</v>
      </c>
      <c r="J26" s="49" t="s">
        <v>17</v>
      </c>
      <c r="K26" s="6" t="s">
        <v>10</v>
      </c>
      <c r="L26" s="186" t="s">
        <v>436</v>
      </c>
    </row>
    <row r="27" spans="1:12" s="22" customFormat="1" ht="56">
      <c r="A27" s="180" t="s">
        <v>104</v>
      </c>
      <c r="B27" s="26" t="s">
        <v>15</v>
      </c>
      <c r="C27" s="26" t="s">
        <v>15</v>
      </c>
      <c r="D27" s="25" t="s">
        <v>12</v>
      </c>
      <c r="E27" s="26" t="s">
        <v>15</v>
      </c>
      <c r="F27" s="26" t="s">
        <v>15</v>
      </c>
      <c r="G27" s="5" t="s">
        <v>16</v>
      </c>
      <c r="H27" s="6">
        <v>0.5</v>
      </c>
      <c r="I27" s="6">
        <v>2011</v>
      </c>
      <c r="J27" s="49" t="s">
        <v>17</v>
      </c>
      <c r="K27" s="6" t="s">
        <v>10</v>
      </c>
      <c r="L27" s="186" t="s">
        <v>429</v>
      </c>
    </row>
    <row r="28" spans="1:12" s="22" customFormat="1" ht="42">
      <c r="A28" s="180" t="s">
        <v>113</v>
      </c>
      <c r="B28" s="26" t="s">
        <v>15</v>
      </c>
      <c r="C28" s="26" t="s">
        <v>15</v>
      </c>
      <c r="D28" s="32" t="s">
        <v>11</v>
      </c>
      <c r="E28" s="26" t="s">
        <v>15</v>
      </c>
      <c r="F28" s="26" t="s">
        <v>15</v>
      </c>
      <c r="G28" s="5" t="s">
        <v>13</v>
      </c>
      <c r="H28" s="6">
        <v>10.210000000000001</v>
      </c>
      <c r="I28" s="6">
        <v>2011</v>
      </c>
      <c r="J28" s="49" t="s">
        <v>23</v>
      </c>
      <c r="K28" s="6" t="s">
        <v>10</v>
      </c>
      <c r="L28" s="185" t="s">
        <v>38</v>
      </c>
    </row>
    <row r="29" spans="1:12" s="22" customFormat="1" ht="70">
      <c r="A29" s="180" t="s">
        <v>105</v>
      </c>
      <c r="B29" s="26" t="s">
        <v>15</v>
      </c>
      <c r="C29" s="32" t="s">
        <v>11</v>
      </c>
      <c r="D29" s="25" t="s">
        <v>12</v>
      </c>
      <c r="E29" s="26" t="s">
        <v>15</v>
      </c>
      <c r="F29" s="26" t="s">
        <v>15</v>
      </c>
      <c r="G29" s="5" t="s">
        <v>13</v>
      </c>
      <c r="H29" s="6">
        <v>7.6</v>
      </c>
      <c r="I29" s="6">
        <v>2011</v>
      </c>
      <c r="J29" s="49" t="s">
        <v>23</v>
      </c>
      <c r="K29" s="6" t="s">
        <v>10</v>
      </c>
      <c r="L29" s="185" t="s">
        <v>39</v>
      </c>
    </row>
    <row r="30" spans="1:12" s="22" customFormat="1" ht="56">
      <c r="A30" s="180" t="s">
        <v>106</v>
      </c>
      <c r="B30" s="26" t="s">
        <v>15</v>
      </c>
      <c r="C30" s="26" t="s">
        <v>15</v>
      </c>
      <c r="D30" s="25" t="s">
        <v>12</v>
      </c>
      <c r="E30" s="26" t="s">
        <v>15</v>
      </c>
      <c r="F30" s="26" t="s">
        <v>15</v>
      </c>
      <c r="G30" s="5" t="s">
        <v>16</v>
      </c>
      <c r="H30" s="140">
        <v>3.19</v>
      </c>
      <c r="I30" s="140">
        <v>2011</v>
      </c>
      <c r="J30" s="49" t="s">
        <v>17</v>
      </c>
      <c r="K30" s="6" t="s">
        <v>10</v>
      </c>
      <c r="L30" s="186" t="s">
        <v>126</v>
      </c>
    </row>
    <row r="31" spans="1:12" s="22" customFormat="1" ht="42">
      <c r="A31" s="180" t="s">
        <v>116</v>
      </c>
      <c r="B31" s="26" t="s">
        <v>15</v>
      </c>
      <c r="C31" s="26" t="s">
        <v>15</v>
      </c>
      <c r="D31" s="25" t="s">
        <v>12</v>
      </c>
      <c r="E31" s="26" t="s">
        <v>15</v>
      </c>
      <c r="F31" s="26" t="s">
        <v>15</v>
      </c>
      <c r="G31" s="5" t="s">
        <v>16</v>
      </c>
      <c r="H31" s="6">
        <v>26.94</v>
      </c>
      <c r="I31" s="6">
        <v>2011</v>
      </c>
      <c r="J31" s="49" t="s">
        <v>23</v>
      </c>
      <c r="K31" s="6" t="s">
        <v>10</v>
      </c>
      <c r="L31" s="185" t="s">
        <v>48</v>
      </c>
    </row>
    <row r="32" spans="1:12" s="22" customFormat="1" ht="43" thickBot="1">
      <c r="A32" s="178" t="s">
        <v>119</v>
      </c>
      <c r="B32" s="29" t="s">
        <v>15</v>
      </c>
      <c r="C32" s="29" t="s">
        <v>15</v>
      </c>
      <c r="D32" s="23" t="s">
        <v>12</v>
      </c>
      <c r="E32" s="29" t="s">
        <v>15</v>
      </c>
      <c r="F32" s="29" t="s">
        <v>15</v>
      </c>
      <c r="G32" s="10" t="s">
        <v>16</v>
      </c>
      <c r="H32" s="50" t="s">
        <v>9</v>
      </c>
      <c r="I32" s="50" t="s">
        <v>10</v>
      </c>
      <c r="J32" s="50" t="s">
        <v>23</v>
      </c>
      <c r="K32" s="11" t="s">
        <v>10</v>
      </c>
      <c r="L32" s="181" t="s">
        <v>48</v>
      </c>
    </row>
    <row r="33" spans="1:16">
      <c r="A33" s="34" t="s">
        <v>33</v>
      </c>
      <c r="B33" s="43"/>
      <c r="C33" s="43"/>
      <c r="D33" s="43"/>
      <c r="E33" s="43"/>
      <c r="F33" s="43"/>
      <c r="G33" s="59"/>
      <c r="H33" s="53"/>
      <c r="I33" s="59"/>
      <c r="J33" s="53"/>
      <c r="K33" s="53"/>
      <c r="L33" s="182"/>
    </row>
    <row r="34" spans="1:16" s="22" customFormat="1" ht="28">
      <c r="A34" s="178" t="s">
        <v>64</v>
      </c>
      <c r="B34" s="26" t="s">
        <v>15</v>
      </c>
      <c r="C34" s="26" t="s">
        <v>15</v>
      </c>
      <c r="D34" s="25" t="s">
        <v>12</v>
      </c>
      <c r="E34" s="27">
        <v>10</v>
      </c>
      <c r="F34" s="26" t="s">
        <v>15</v>
      </c>
      <c r="G34" s="66" t="s">
        <v>16</v>
      </c>
      <c r="H34" s="49">
        <v>0.36</v>
      </c>
      <c r="I34" s="49">
        <v>2011</v>
      </c>
      <c r="J34" s="49" t="s">
        <v>17</v>
      </c>
      <c r="K34" s="56" t="s">
        <v>10</v>
      </c>
      <c r="L34" s="185" t="s">
        <v>40</v>
      </c>
    </row>
    <row r="35" spans="1:16" s="22" customFormat="1" ht="85" thickBot="1">
      <c r="A35" s="193" t="s">
        <v>83</v>
      </c>
      <c r="B35" s="29" t="s">
        <v>15</v>
      </c>
      <c r="C35" s="29" t="s">
        <v>15</v>
      </c>
      <c r="D35" s="23" t="s">
        <v>12</v>
      </c>
      <c r="E35" s="21">
        <v>10</v>
      </c>
      <c r="F35" s="29" t="s">
        <v>15</v>
      </c>
      <c r="G35" s="67" t="s">
        <v>16</v>
      </c>
      <c r="H35" s="50">
        <v>1.97</v>
      </c>
      <c r="I35" s="50">
        <v>2011</v>
      </c>
      <c r="J35" s="50" t="s">
        <v>17</v>
      </c>
      <c r="K35" s="57" t="s">
        <v>10</v>
      </c>
      <c r="L35" s="181" t="s">
        <v>128</v>
      </c>
    </row>
    <row r="36" spans="1:16" s="12" customFormat="1" ht="42">
      <c r="A36" s="196" t="s">
        <v>107</v>
      </c>
      <c r="B36" s="39" t="s">
        <v>15</v>
      </c>
      <c r="C36" s="39" t="s">
        <v>15</v>
      </c>
      <c r="D36" s="37" t="s">
        <v>12</v>
      </c>
      <c r="E36" s="39" t="s">
        <v>15</v>
      </c>
      <c r="F36" s="39" t="s">
        <v>15</v>
      </c>
      <c r="G36" s="89" t="s">
        <v>16</v>
      </c>
      <c r="H36" s="90">
        <v>3.26</v>
      </c>
      <c r="I36" s="90">
        <v>2011</v>
      </c>
      <c r="J36" s="52" t="s">
        <v>10</v>
      </c>
      <c r="K36" s="90" t="s">
        <v>10</v>
      </c>
      <c r="L36" s="187" t="s">
        <v>125</v>
      </c>
    </row>
    <row r="37" spans="1:16" s="22" customFormat="1" ht="43" thickBot="1">
      <c r="A37" s="193" t="s">
        <v>117</v>
      </c>
      <c r="B37" s="29" t="s">
        <v>15</v>
      </c>
      <c r="C37" s="29" t="s">
        <v>15</v>
      </c>
      <c r="D37" s="23" t="s">
        <v>12</v>
      </c>
      <c r="E37" s="29" t="s">
        <v>15</v>
      </c>
      <c r="F37" s="29" t="s">
        <v>15</v>
      </c>
      <c r="G37" s="68" t="s">
        <v>16</v>
      </c>
      <c r="H37" s="57">
        <v>3.06</v>
      </c>
      <c r="I37" s="57">
        <v>2011</v>
      </c>
      <c r="J37" s="57" t="s">
        <v>23</v>
      </c>
      <c r="K37" s="57" t="s">
        <v>10</v>
      </c>
      <c r="L37" s="181" t="s">
        <v>48</v>
      </c>
    </row>
    <row r="38" spans="1:16" s="22" customFormat="1">
      <c r="A38" s="208" t="s">
        <v>430</v>
      </c>
      <c r="B38" s="142"/>
      <c r="C38" s="142"/>
      <c r="D38" s="142"/>
      <c r="E38" s="142"/>
      <c r="F38" s="142"/>
      <c r="G38" s="143"/>
      <c r="H38" s="144"/>
      <c r="I38" s="144"/>
      <c r="J38" s="144"/>
      <c r="K38" s="144"/>
      <c r="L38" s="187"/>
    </row>
    <row r="39" spans="1:16" s="22" customFormat="1" ht="85" thickBot="1">
      <c r="A39" s="178" t="s">
        <v>431</v>
      </c>
      <c r="B39" s="29" t="s">
        <v>15</v>
      </c>
      <c r="C39" s="29" t="s">
        <v>15</v>
      </c>
      <c r="D39" s="23" t="s">
        <v>12</v>
      </c>
      <c r="E39" s="21">
        <v>10</v>
      </c>
      <c r="F39" s="29" t="s">
        <v>15</v>
      </c>
      <c r="G39" s="68" t="s">
        <v>16</v>
      </c>
      <c r="H39" s="57">
        <f>1*10^-3</f>
        <v>1E-3</v>
      </c>
      <c r="I39" s="57">
        <v>2011</v>
      </c>
      <c r="J39" s="57" t="s">
        <v>17</v>
      </c>
      <c r="K39" s="57" t="s">
        <v>10</v>
      </c>
      <c r="L39" s="181" t="s">
        <v>128</v>
      </c>
    </row>
    <row r="40" spans="1:16" s="12" customFormat="1">
      <c r="A40" s="200" t="s">
        <v>24</v>
      </c>
      <c r="B40" s="43"/>
      <c r="C40" s="43"/>
      <c r="D40" s="43"/>
      <c r="E40" s="43"/>
      <c r="F40" s="43"/>
      <c r="G40" s="59"/>
      <c r="H40" s="53"/>
      <c r="I40" s="53"/>
      <c r="J40" s="53"/>
      <c r="K40" s="53"/>
      <c r="L40" s="199" t="s">
        <v>448</v>
      </c>
    </row>
    <row r="41" spans="1:16" s="22" customFormat="1" ht="70">
      <c r="A41" s="178" t="s">
        <v>466</v>
      </c>
      <c r="B41" s="25" t="s">
        <v>12</v>
      </c>
      <c r="C41" s="25" t="s">
        <v>12</v>
      </c>
      <c r="D41" s="26" t="s">
        <v>15</v>
      </c>
      <c r="E41" s="25" t="s">
        <v>12</v>
      </c>
      <c r="F41" s="25" t="s">
        <v>12</v>
      </c>
      <c r="G41" s="66" t="s">
        <v>16</v>
      </c>
      <c r="H41" s="145">
        <f>16.446+84.949+8.919</f>
        <v>110.31399999999999</v>
      </c>
      <c r="I41" s="138" t="s">
        <v>132</v>
      </c>
      <c r="J41" s="49" t="s">
        <v>10</v>
      </c>
      <c r="K41" s="60" t="s">
        <v>469</v>
      </c>
      <c r="L41" s="185" t="s">
        <v>41</v>
      </c>
    </row>
    <row r="42" spans="1:16" s="22" customFormat="1" ht="45">
      <c r="A42" s="180" t="s">
        <v>66</v>
      </c>
      <c r="B42" s="26" t="s">
        <v>15</v>
      </c>
      <c r="C42" s="26" t="s">
        <v>15</v>
      </c>
      <c r="D42" s="26" t="s">
        <v>15</v>
      </c>
      <c r="E42" s="26" t="s">
        <v>15</v>
      </c>
      <c r="F42" s="26" t="s">
        <v>15</v>
      </c>
      <c r="G42" s="66" t="s">
        <v>21</v>
      </c>
      <c r="H42" s="223">
        <v>4.0999999999999996</v>
      </c>
      <c r="I42" s="223">
        <v>2012</v>
      </c>
      <c r="J42" s="49" t="s">
        <v>10</v>
      </c>
      <c r="K42" s="60" t="s">
        <v>50</v>
      </c>
      <c r="L42" s="188" t="s">
        <v>435</v>
      </c>
    </row>
    <row r="43" spans="1:16" s="22" customFormat="1" ht="30">
      <c r="A43" s="180" t="s">
        <v>67</v>
      </c>
      <c r="B43" s="26" t="s">
        <v>15</v>
      </c>
      <c r="C43" s="26" t="s">
        <v>15</v>
      </c>
      <c r="D43" s="26" t="s">
        <v>15</v>
      </c>
      <c r="E43" s="26" t="s">
        <v>15</v>
      </c>
      <c r="F43" s="26" t="s">
        <v>15</v>
      </c>
      <c r="G43" s="49" t="s">
        <v>21</v>
      </c>
      <c r="H43" s="224"/>
      <c r="I43" s="224"/>
      <c r="J43" s="49" t="s">
        <v>10</v>
      </c>
      <c r="K43" s="61" t="s">
        <v>51</v>
      </c>
      <c r="L43" s="185" t="s">
        <v>42</v>
      </c>
    </row>
    <row r="44" spans="1:16" s="22" customFormat="1" ht="30">
      <c r="A44" s="180" t="s">
        <v>68</v>
      </c>
      <c r="B44" s="26" t="s">
        <v>15</v>
      </c>
      <c r="C44" s="27">
        <v>9.1</v>
      </c>
      <c r="D44" s="27">
        <v>10</v>
      </c>
      <c r="E44" s="26" t="s">
        <v>15</v>
      </c>
      <c r="F44" s="26" t="s">
        <v>15</v>
      </c>
      <c r="G44" s="56" t="s">
        <v>21</v>
      </c>
      <c r="H44" s="223">
        <v>34</v>
      </c>
      <c r="I44" s="223">
        <v>2011</v>
      </c>
      <c r="J44" s="49" t="s">
        <v>10</v>
      </c>
      <c r="K44" s="138" t="s">
        <v>51</v>
      </c>
      <c r="L44" s="183" t="s">
        <v>447</v>
      </c>
    </row>
    <row r="45" spans="1:16" s="22" customFormat="1" ht="31" thickBot="1">
      <c r="A45" s="178" t="s">
        <v>84</v>
      </c>
      <c r="B45" s="26" t="s">
        <v>15</v>
      </c>
      <c r="C45" s="21">
        <v>9.6999999999999993</v>
      </c>
      <c r="D45" s="21">
        <v>10</v>
      </c>
      <c r="E45" s="29" t="s">
        <v>15</v>
      </c>
      <c r="F45" s="26" t="s">
        <v>15</v>
      </c>
      <c r="G45" s="57" t="s">
        <v>21</v>
      </c>
      <c r="H45" s="225"/>
      <c r="I45" s="225"/>
      <c r="J45" s="50" t="s">
        <v>10</v>
      </c>
      <c r="K45" s="62" t="s">
        <v>51</v>
      </c>
      <c r="L45" s="189" t="s">
        <v>425</v>
      </c>
    </row>
    <row r="46" spans="1:16" s="12" customFormat="1" ht="56">
      <c r="A46" s="201" t="s">
        <v>25</v>
      </c>
      <c r="B46" s="43"/>
      <c r="C46" s="43"/>
      <c r="D46" s="43"/>
      <c r="E46" s="43"/>
      <c r="F46" s="43"/>
      <c r="G46" s="69"/>
      <c r="H46" s="55"/>
      <c r="I46" s="55"/>
      <c r="J46" s="55"/>
      <c r="K46" s="55"/>
      <c r="L46" s="207" t="s">
        <v>449</v>
      </c>
    </row>
    <row r="47" spans="1:16" s="22" customFormat="1">
      <c r="A47" s="180" t="s">
        <v>72</v>
      </c>
      <c r="B47" s="32" t="s">
        <v>11</v>
      </c>
      <c r="C47" s="25" t="s">
        <v>12</v>
      </c>
      <c r="D47" s="26" t="s">
        <v>15</v>
      </c>
      <c r="E47" s="27">
        <v>10</v>
      </c>
      <c r="F47" s="27">
        <v>10</v>
      </c>
      <c r="G47" s="66" t="s">
        <v>13</v>
      </c>
      <c r="H47" s="148">
        <v>5.32</v>
      </c>
      <c r="I47" s="49">
        <v>2011</v>
      </c>
      <c r="J47" s="49" t="s">
        <v>10</v>
      </c>
      <c r="K47" s="56" t="s">
        <v>54</v>
      </c>
      <c r="L47" s="202" t="s">
        <v>453</v>
      </c>
    </row>
    <row r="48" spans="1:16" s="22" customFormat="1">
      <c r="A48" s="180" t="s">
        <v>71</v>
      </c>
      <c r="B48" s="32" t="s">
        <v>11</v>
      </c>
      <c r="C48" s="25" t="s">
        <v>12</v>
      </c>
      <c r="D48" s="26" t="s">
        <v>15</v>
      </c>
      <c r="E48" s="27">
        <v>10</v>
      </c>
      <c r="F48" s="27">
        <v>10</v>
      </c>
      <c r="G48" s="66" t="s">
        <v>13</v>
      </c>
      <c r="H48" s="148">
        <v>4.43</v>
      </c>
      <c r="I48" s="49">
        <v>2011</v>
      </c>
      <c r="J48" s="49" t="s">
        <v>10</v>
      </c>
      <c r="K48" s="56" t="s">
        <v>54</v>
      </c>
      <c r="L48" s="202" t="s">
        <v>453</v>
      </c>
      <c r="N48" s="40"/>
      <c r="O48" s="40"/>
      <c r="P48" s="40"/>
    </row>
    <row r="49" spans="1:12" s="22" customFormat="1" ht="57" thickBot="1">
      <c r="A49" s="178" t="s">
        <v>73</v>
      </c>
      <c r="B49" s="31" t="s">
        <v>11</v>
      </c>
      <c r="C49" s="23" t="s">
        <v>12</v>
      </c>
      <c r="D49" s="29" t="s">
        <v>15</v>
      </c>
      <c r="E49" s="21">
        <v>10</v>
      </c>
      <c r="F49" s="21">
        <v>10</v>
      </c>
      <c r="G49" s="67" t="s">
        <v>13</v>
      </c>
      <c r="H49" s="146">
        <v>19.920000000000002</v>
      </c>
      <c r="I49" s="57">
        <v>2011</v>
      </c>
      <c r="J49" s="50" t="s">
        <v>10</v>
      </c>
      <c r="K49" s="64" t="s">
        <v>52</v>
      </c>
      <c r="L49" s="181" t="s">
        <v>455</v>
      </c>
    </row>
    <row r="50" spans="1:12" s="22" customFormat="1" ht="43" thickBot="1">
      <c r="A50" s="203" t="s">
        <v>85</v>
      </c>
      <c r="B50" s="96" t="s">
        <v>15</v>
      </c>
      <c r="C50" s="96" t="s">
        <v>15</v>
      </c>
      <c r="D50" s="96" t="s">
        <v>15</v>
      </c>
      <c r="E50" s="88" t="s">
        <v>11</v>
      </c>
      <c r="F50" s="96" t="s">
        <v>15</v>
      </c>
      <c r="G50" s="67" t="s">
        <v>13</v>
      </c>
      <c r="H50" s="146">
        <v>0</v>
      </c>
      <c r="I50" s="57">
        <v>2012</v>
      </c>
      <c r="J50" s="50" t="s">
        <v>17</v>
      </c>
      <c r="K50" s="57" t="s">
        <v>10</v>
      </c>
      <c r="L50" s="189" t="s">
        <v>456</v>
      </c>
    </row>
    <row r="51" spans="1:12" s="12" customFormat="1" ht="42">
      <c r="A51" s="204" t="s">
        <v>26</v>
      </c>
      <c r="B51" s="14" t="s">
        <v>12</v>
      </c>
      <c r="C51" s="28">
        <v>10</v>
      </c>
      <c r="D51" s="28">
        <v>10</v>
      </c>
      <c r="E51" s="213">
        <v>2</v>
      </c>
      <c r="F51" s="216">
        <v>6.4</v>
      </c>
      <c r="G51" s="69" t="s">
        <v>13</v>
      </c>
      <c r="H51" s="55">
        <v>6.4</v>
      </c>
      <c r="I51" s="55">
        <v>2011</v>
      </c>
      <c r="J51" s="55" t="s">
        <v>10</v>
      </c>
      <c r="K51" s="53" t="s">
        <v>10</v>
      </c>
      <c r="L51" s="205" t="s">
        <v>472</v>
      </c>
    </row>
    <row r="52" spans="1:12" s="22" customFormat="1">
      <c r="A52" s="180" t="s">
        <v>27</v>
      </c>
      <c r="B52" s="25" t="s">
        <v>12</v>
      </c>
      <c r="C52" s="27">
        <v>10</v>
      </c>
      <c r="D52" s="27">
        <v>10</v>
      </c>
      <c r="E52" s="214">
        <v>2</v>
      </c>
      <c r="F52" s="217">
        <v>6.4</v>
      </c>
      <c r="G52" s="66" t="s">
        <v>13</v>
      </c>
      <c r="H52" s="49" t="s">
        <v>9</v>
      </c>
      <c r="I52" s="49" t="s">
        <v>10</v>
      </c>
      <c r="J52" s="49" t="s">
        <v>17</v>
      </c>
      <c r="K52" s="56" t="s">
        <v>10</v>
      </c>
      <c r="L52" s="185" t="s">
        <v>453</v>
      </c>
    </row>
    <row r="53" spans="1:12" s="22" customFormat="1" ht="29" thickBot="1">
      <c r="A53" s="178" t="s">
        <v>69</v>
      </c>
      <c r="B53" s="23" t="s">
        <v>12</v>
      </c>
      <c r="C53" s="23" t="s">
        <v>12</v>
      </c>
      <c r="D53" s="29" t="s">
        <v>15</v>
      </c>
      <c r="E53" s="215">
        <v>2</v>
      </c>
      <c r="F53" s="218">
        <v>6.4</v>
      </c>
      <c r="G53" s="67" t="s">
        <v>13</v>
      </c>
      <c r="H53" s="50" t="s">
        <v>9</v>
      </c>
      <c r="I53" s="50" t="s">
        <v>10</v>
      </c>
      <c r="J53" s="50" t="s">
        <v>17</v>
      </c>
      <c r="K53" s="57" t="s">
        <v>10</v>
      </c>
      <c r="L53" s="181" t="s">
        <v>471</v>
      </c>
    </row>
    <row r="54" spans="1:12" s="22" customFormat="1" ht="57" thickBot="1">
      <c r="A54" s="203" t="s">
        <v>63</v>
      </c>
      <c r="B54" s="76" t="s">
        <v>11</v>
      </c>
      <c r="C54" s="77">
        <v>10</v>
      </c>
      <c r="D54" s="77">
        <v>10</v>
      </c>
      <c r="E54" s="76" t="s">
        <v>11</v>
      </c>
      <c r="F54" s="76" t="s">
        <v>11</v>
      </c>
      <c r="G54" s="78" t="s">
        <v>13</v>
      </c>
      <c r="H54" s="144">
        <v>8.44</v>
      </c>
      <c r="I54" s="144">
        <v>2011</v>
      </c>
      <c r="J54" s="79" t="s">
        <v>10</v>
      </c>
      <c r="K54" s="79" t="s">
        <v>10</v>
      </c>
      <c r="L54" s="206" t="s">
        <v>450</v>
      </c>
    </row>
    <row r="55" spans="1:12" s="12" customFormat="1" ht="56">
      <c r="A55" s="204" t="s">
        <v>28</v>
      </c>
      <c r="B55" s="15" t="s">
        <v>11</v>
      </c>
      <c r="C55" s="28">
        <v>10</v>
      </c>
      <c r="D55" s="28">
        <v>10</v>
      </c>
      <c r="E55" s="15" t="s">
        <v>11</v>
      </c>
      <c r="F55" s="15" t="s">
        <v>11</v>
      </c>
      <c r="G55" s="69" t="s">
        <v>13</v>
      </c>
      <c r="H55" s="53">
        <v>9.0299999999999994</v>
      </c>
      <c r="I55" s="53">
        <v>2011</v>
      </c>
      <c r="J55" s="55" t="s">
        <v>10</v>
      </c>
      <c r="K55" s="55" t="s">
        <v>10</v>
      </c>
      <c r="L55" s="205" t="s">
        <v>451</v>
      </c>
    </row>
    <row r="56" spans="1:12" s="22" customFormat="1" ht="42" customHeight="1">
      <c r="A56" s="209" t="s">
        <v>457</v>
      </c>
      <c r="B56" s="32" t="s">
        <v>11</v>
      </c>
      <c r="C56" s="27">
        <v>10</v>
      </c>
      <c r="D56" s="27">
        <v>10</v>
      </c>
      <c r="E56" s="32" t="s">
        <v>11</v>
      </c>
      <c r="F56" s="32" t="s">
        <v>11</v>
      </c>
      <c r="G56" s="66" t="s">
        <v>13</v>
      </c>
      <c r="H56" s="149">
        <f>4.8*(10/217)</f>
        <v>0.22119815668202766</v>
      </c>
      <c r="I56" s="56">
        <v>2011</v>
      </c>
      <c r="J56" s="49" t="s">
        <v>10</v>
      </c>
      <c r="K56" s="56" t="s">
        <v>54</v>
      </c>
      <c r="L56" s="185" t="s">
        <v>453</v>
      </c>
    </row>
    <row r="57" spans="1:12" s="22" customFormat="1" ht="16" thickBot="1">
      <c r="A57" s="195" t="s">
        <v>458</v>
      </c>
      <c r="B57" s="31" t="s">
        <v>11</v>
      </c>
      <c r="C57" s="21">
        <v>10</v>
      </c>
      <c r="D57" s="21">
        <v>10</v>
      </c>
      <c r="E57" s="31" t="s">
        <v>11</v>
      </c>
      <c r="F57" s="31" t="s">
        <v>11</v>
      </c>
      <c r="G57" s="67" t="s">
        <v>13</v>
      </c>
      <c r="H57" s="150">
        <f>4.8-H56</f>
        <v>4.5788018433179722</v>
      </c>
      <c r="I57" s="57">
        <v>2011</v>
      </c>
      <c r="J57" s="50" t="s">
        <v>17</v>
      </c>
      <c r="K57" s="57" t="s">
        <v>10</v>
      </c>
      <c r="L57" s="181" t="s">
        <v>453</v>
      </c>
    </row>
    <row r="58" spans="1:12" s="12" customFormat="1" ht="42">
      <c r="A58" s="204" t="s">
        <v>29</v>
      </c>
      <c r="B58" s="14" t="s">
        <v>12</v>
      </c>
      <c r="C58" s="14" t="s">
        <v>12</v>
      </c>
      <c r="D58" s="28">
        <v>10</v>
      </c>
      <c r="E58" s="28">
        <v>8.3000000000000007</v>
      </c>
      <c r="F58" s="28">
        <v>8.1999999999999993</v>
      </c>
      <c r="G58" s="69" t="s">
        <v>16</v>
      </c>
      <c r="H58" s="55">
        <v>123.98</v>
      </c>
      <c r="I58" s="55">
        <v>2011</v>
      </c>
      <c r="J58" s="55" t="s">
        <v>10</v>
      </c>
      <c r="K58" s="55" t="s">
        <v>10</v>
      </c>
      <c r="L58" s="205" t="s">
        <v>454</v>
      </c>
    </row>
    <row r="59" spans="1:12" s="22" customFormat="1" ht="42" customHeight="1">
      <c r="A59" s="209" t="s">
        <v>467</v>
      </c>
      <c r="B59" s="25" t="s">
        <v>12</v>
      </c>
      <c r="C59" s="25" t="s">
        <v>12</v>
      </c>
      <c r="D59" s="27">
        <v>10</v>
      </c>
      <c r="E59" s="27">
        <v>8.3000000000000007</v>
      </c>
      <c r="F59" s="27">
        <v>8.1999999999999993</v>
      </c>
      <c r="G59" s="66" t="s">
        <v>16</v>
      </c>
      <c r="H59" s="49">
        <v>1.33</v>
      </c>
      <c r="I59" s="49">
        <v>2011</v>
      </c>
      <c r="J59" s="49" t="s">
        <v>17</v>
      </c>
      <c r="K59" s="60" t="s">
        <v>468</v>
      </c>
      <c r="L59" s="185" t="s">
        <v>452</v>
      </c>
    </row>
    <row r="60" spans="1:12" s="22" customFormat="1" ht="59" customHeight="1" thickBot="1">
      <c r="A60" s="178" t="s">
        <v>80</v>
      </c>
      <c r="B60" s="23" t="s">
        <v>12</v>
      </c>
      <c r="C60" s="23" t="s">
        <v>12</v>
      </c>
      <c r="D60" s="21">
        <v>10</v>
      </c>
      <c r="E60" s="21">
        <v>8.3000000000000007</v>
      </c>
      <c r="F60" s="21">
        <v>8.1999999999999993</v>
      </c>
      <c r="G60" s="67" t="s">
        <v>16</v>
      </c>
      <c r="H60" s="150">
        <f>122.66*(29/44)</f>
        <v>80.844090909090909</v>
      </c>
      <c r="I60" s="50">
        <v>2011</v>
      </c>
      <c r="J60" s="50" t="s">
        <v>17</v>
      </c>
      <c r="K60" s="220" t="s">
        <v>53</v>
      </c>
      <c r="L60" s="181" t="s">
        <v>470</v>
      </c>
    </row>
    <row r="61" spans="1:12" s="12" customFormat="1" ht="70">
      <c r="A61" s="197" t="s">
        <v>108</v>
      </c>
      <c r="B61" s="39" t="s">
        <v>15</v>
      </c>
      <c r="C61" s="37" t="s">
        <v>12</v>
      </c>
      <c r="D61" s="37" t="s">
        <v>12</v>
      </c>
      <c r="E61" s="39" t="s">
        <v>15</v>
      </c>
      <c r="F61" s="39" t="s">
        <v>15</v>
      </c>
      <c r="G61" s="52" t="s">
        <v>16</v>
      </c>
      <c r="H61" s="52">
        <v>40.57</v>
      </c>
      <c r="I61" s="52">
        <v>2011</v>
      </c>
      <c r="J61" s="52" t="s">
        <v>10</v>
      </c>
      <c r="K61" s="52" t="s">
        <v>10</v>
      </c>
      <c r="L61" s="186" t="s">
        <v>124</v>
      </c>
    </row>
    <row r="62" spans="1:12" s="22" customFormat="1" ht="56">
      <c r="A62" s="178" t="s">
        <v>109</v>
      </c>
      <c r="B62" s="26" t="s">
        <v>15</v>
      </c>
      <c r="C62" s="26" t="s">
        <v>15</v>
      </c>
      <c r="D62" s="25" t="s">
        <v>12</v>
      </c>
      <c r="E62" s="26" t="s">
        <v>15</v>
      </c>
      <c r="F62" s="26" t="s">
        <v>15</v>
      </c>
      <c r="G62" s="49" t="s">
        <v>16</v>
      </c>
      <c r="H62" s="49">
        <v>3.1</v>
      </c>
      <c r="I62" s="49">
        <v>2011</v>
      </c>
      <c r="J62" s="56" t="s">
        <v>17</v>
      </c>
      <c r="K62" s="56" t="s">
        <v>10</v>
      </c>
      <c r="L62" s="186" t="s">
        <v>432</v>
      </c>
    </row>
    <row r="63" spans="1:12" s="22" customFormat="1" ht="56">
      <c r="A63" s="180" t="s">
        <v>114</v>
      </c>
      <c r="B63" s="26" t="s">
        <v>15</v>
      </c>
      <c r="C63" s="26" t="s">
        <v>15</v>
      </c>
      <c r="D63" s="25" t="s">
        <v>12</v>
      </c>
      <c r="E63" s="26" t="s">
        <v>15</v>
      </c>
      <c r="F63" s="26" t="s">
        <v>15</v>
      </c>
      <c r="G63" s="49" t="s">
        <v>16</v>
      </c>
      <c r="H63" s="49">
        <v>0.19</v>
      </c>
      <c r="I63" s="49">
        <v>2011</v>
      </c>
      <c r="J63" s="56" t="s">
        <v>17</v>
      </c>
      <c r="K63" s="56" t="s">
        <v>10</v>
      </c>
      <c r="L63" s="186" t="s">
        <v>429</v>
      </c>
    </row>
    <row r="64" spans="1:12" s="22" customFormat="1" ht="42">
      <c r="A64" s="180" t="s">
        <v>115</v>
      </c>
      <c r="B64" s="26" t="s">
        <v>15</v>
      </c>
      <c r="C64" s="26" t="s">
        <v>15</v>
      </c>
      <c r="D64" s="32" t="s">
        <v>11</v>
      </c>
      <c r="E64" s="26" t="s">
        <v>15</v>
      </c>
      <c r="F64" s="26" t="s">
        <v>15</v>
      </c>
      <c r="G64" s="49" t="s">
        <v>13</v>
      </c>
      <c r="H64" s="49">
        <v>11.78</v>
      </c>
      <c r="I64" s="49">
        <v>2011</v>
      </c>
      <c r="J64" s="49" t="s">
        <v>23</v>
      </c>
      <c r="K64" s="49" t="s">
        <v>10</v>
      </c>
      <c r="L64" s="185" t="s">
        <v>38</v>
      </c>
    </row>
    <row r="65" spans="1:12" s="22" customFormat="1" ht="70">
      <c r="A65" s="180" t="s">
        <v>110</v>
      </c>
      <c r="B65" s="26" t="s">
        <v>15</v>
      </c>
      <c r="C65" s="32" t="s">
        <v>11</v>
      </c>
      <c r="D65" s="25" t="s">
        <v>12</v>
      </c>
      <c r="E65" s="26" t="s">
        <v>15</v>
      </c>
      <c r="F65" s="26" t="s">
        <v>15</v>
      </c>
      <c r="G65" s="66" t="s">
        <v>13</v>
      </c>
      <c r="H65" s="49">
        <v>12.19</v>
      </c>
      <c r="I65" s="49">
        <v>2011</v>
      </c>
      <c r="J65" s="49" t="s">
        <v>23</v>
      </c>
      <c r="K65" s="56" t="s">
        <v>10</v>
      </c>
      <c r="L65" s="185" t="s">
        <v>39</v>
      </c>
    </row>
    <row r="66" spans="1:12" s="22" customFormat="1" ht="56">
      <c r="A66" s="180" t="s">
        <v>111</v>
      </c>
      <c r="B66" s="26" t="s">
        <v>15</v>
      </c>
      <c r="C66" s="26" t="s">
        <v>15</v>
      </c>
      <c r="D66" s="25" t="s">
        <v>12</v>
      </c>
      <c r="E66" s="26" t="s">
        <v>15</v>
      </c>
      <c r="F66" s="26" t="s">
        <v>15</v>
      </c>
      <c r="G66" s="66" t="s">
        <v>16</v>
      </c>
      <c r="H66" s="49">
        <v>1.37</v>
      </c>
      <c r="I66" s="49">
        <v>2011</v>
      </c>
      <c r="J66" s="49" t="s">
        <v>17</v>
      </c>
      <c r="K66" s="56" t="s">
        <v>10</v>
      </c>
      <c r="L66" s="186" t="s">
        <v>433</v>
      </c>
    </row>
    <row r="67" spans="1:12" s="22" customFormat="1" ht="42">
      <c r="A67" s="180" t="s">
        <v>112</v>
      </c>
      <c r="B67" s="26" t="s">
        <v>15</v>
      </c>
      <c r="C67" s="26" t="s">
        <v>15</v>
      </c>
      <c r="D67" s="25" t="s">
        <v>12</v>
      </c>
      <c r="E67" s="26" t="s">
        <v>15</v>
      </c>
      <c r="F67" s="26" t="s">
        <v>15</v>
      </c>
      <c r="G67" s="66" t="s">
        <v>16</v>
      </c>
      <c r="H67" s="49">
        <v>12.05</v>
      </c>
      <c r="I67" s="49">
        <v>2011</v>
      </c>
      <c r="J67" s="49" t="s">
        <v>23</v>
      </c>
      <c r="K67" s="56" t="s">
        <v>10</v>
      </c>
      <c r="L67" s="185" t="s">
        <v>48</v>
      </c>
    </row>
    <row r="68" spans="1:12" s="22" customFormat="1" ht="43" thickBot="1">
      <c r="A68" s="195" t="s">
        <v>118</v>
      </c>
      <c r="B68" s="29" t="s">
        <v>15</v>
      </c>
      <c r="C68" s="29" t="s">
        <v>15</v>
      </c>
      <c r="D68" s="23" t="s">
        <v>12</v>
      </c>
      <c r="E68" s="29" t="s">
        <v>15</v>
      </c>
      <c r="F68" s="29" t="s">
        <v>15</v>
      </c>
      <c r="G68" s="67" t="s">
        <v>16</v>
      </c>
      <c r="H68" s="50" t="s">
        <v>9</v>
      </c>
      <c r="I68" s="50" t="s">
        <v>10</v>
      </c>
      <c r="J68" s="50" t="s">
        <v>23</v>
      </c>
      <c r="K68" s="57" t="s">
        <v>10</v>
      </c>
      <c r="L68" s="181" t="s">
        <v>48</v>
      </c>
    </row>
    <row r="69" spans="1:12" s="12" customFormat="1">
      <c r="A69" s="196" t="s">
        <v>30</v>
      </c>
      <c r="B69" s="63"/>
      <c r="C69" s="63"/>
      <c r="D69" s="63"/>
      <c r="E69" s="63"/>
      <c r="F69" s="63"/>
      <c r="G69" s="70"/>
      <c r="H69" s="65"/>
      <c r="I69" s="70"/>
      <c r="J69" s="65"/>
      <c r="K69" s="65"/>
      <c r="L69" s="190"/>
    </row>
    <row r="70" spans="1:12" s="22" customFormat="1" ht="28">
      <c r="A70" s="180" t="s">
        <v>75</v>
      </c>
      <c r="B70" s="26" t="s">
        <v>15</v>
      </c>
      <c r="C70" s="26" t="s">
        <v>15</v>
      </c>
      <c r="D70" s="25" t="s">
        <v>12</v>
      </c>
      <c r="E70" s="27">
        <v>10</v>
      </c>
      <c r="F70" s="26" t="s">
        <v>15</v>
      </c>
      <c r="G70" s="66" t="s">
        <v>16</v>
      </c>
      <c r="H70" s="49">
        <v>1.57</v>
      </c>
      <c r="I70" s="49">
        <v>2011</v>
      </c>
      <c r="J70" s="49" t="s">
        <v>17</v>
      </c>
      <c r="K70" s="56" t="s">
        <v>10</v>
      </c>
      <c r="L70" s="185" t="s">
        <v>40</v>
      </c>
    </row>
    <row r="71" spans="1:12" s="22" customFormat="1" ht="85" thickBot="1">
      <c r="A71" s="178" t="s">
        <v>87</v>
      </c>
      <c r="B71" s="29" t="s">
        <v>15</v>
      </c>
      <c r="C71" s="29" t="s">
        <v>15</v>
      </c>
      <c r="D71" s="23" t="s">
        <v>12</v>
      </c>
      <c r="E71" s="21">
        <v>10</v>
      </c>
      <c r="F71" s="29" t="s">
        <v>15</v>
      </c>
      <c r="G71" s="67" t="s">
        <v>16</v>
      </c>
      <c r="H71" s="50">
        <v>5.36</v>
      </c>
      <c r="I71" s="50">
        <v>2011</v>
      </c>
      <c r="J71" s="50" t="s">
        <v>17</v>
      </c>
      <c r="K71" s="57" t="s">
        <v>10</v>
      </c>
      <c r="L71" s="181" t="s">
        <v>128</v>
      </c>
    </row>
    <row r="72" spans="1:12" s="22" customFormat="1" ht="43" thickBot="1">
      <c r="A72" s="198" t="s">
        <v>129</v>
      </c>
      <c r="B72" s="31" t="s">
        <v>11</v>
      </c>
      <c r="C72" s="29" t="s">
        <v>15</v>
      </c>
      <c r="D72" s="31" t="s">
        <v>11</v>
      </c>
      <c r="E72" s="20" t="s">
        <v>9</v>
      </c>
      <c r="F72" s="20" t="s">
        <v>9</v>
      </c>
      <c r="G72" s="67" t="s">
        <v>13</v>
      </c>
      <c r="H72" s="50" t="s">
        <v>9</v>
      </c>
      <c r="I72" s="50" t="s">
        <v>10</v>
      </c>
      <c r="J72" s="50" t="s">
        <v>17</v>
      </c>
      <c r="K72" s="57" t="s">
        <v>10</v>
      </c>
      <c r="L72" s="181" t="s">
        <v>127</v>
      </c>
    </row>
    <row r="73" spans="1:12" s="22" customFormat="1" ht="71" thickBot="1">
      <c r="A73" s="178" t="s">
        <v>76</v>
      </c>
      <c r="B73" s="20" t="s">
        <v>9</v>
      </c>
      <c r="C73" s="20" t="s">
        <v>9</v>
      </c>
      <c r="D73" s="20" t="s">
        <v>9</v>
      </c>
      <c r="E73" s="20" t="s">
        <v>9</v>
      </c>
      <c r="F73" s="20" t="s">
        <v>9</v>
      </c>
      <c r="G73" s="67" t="s">
        <v>10</v>
      </c>
      <c r="H73" s="50">
        <v>416.16</v>
      </c>
      <c r="I73" s="50">
        <v>2011</v>
      </c>
      <c r="J73" s="50" t="s">
        <v>17</v>
      </c>
      <c r="K73" s="57" t="s">
        <v>10</v>
      </c>
      <c r="L73" s="181" t="s">
        <v>43</v>
      </c>
    </row>
    <row r="74" spans="1:12" s="22" customFormat="1" ht="43" thickBot="1">
      <c r="A74" s="194" t="s">
        <v>77</v>
      </c>
      <c r="B74" s="31" t="s">
        <v>11</v>
      </c>
      <c r="C74" s="29" t="s">
        <v>15</v>
      </c>
      <c r="D74" s="31" t="s">
        <v>11</v>
      </c>
      <c r="E74" s="20" t="s">
        <v>9</v>
      </c>
      <c r="F74" s="20" t="s">
        <v>9</v>
      </c>
      <c r="G74" s="50" t="s">
        <v>13</v>
      </c>
      <c r="H74" s="50">
        <v>3.96</v>
      </c>
      <c r="I74" s="50">
        <v>2011</v>
      </c>
      <c r="J74" s="50" t="s">
        <v>17</v>
      </c>
      <c r="K74" s="50" t="s">
        <v>10</v>
      </c>
      <c r="L74" s="181" t="s">
        <v>127</v>
      </c>
    </row>
    <row r="75" spans="1:12" s="22" customFormat="1" ht="43" thickBot="1">
      <c r="A75" s="194" t="s">
        <v>91</v>
      </c>
      <c r="B75" s="80" t="s">
        <v>12</v>
      </c>
      <c r="C75" s="31" t="s">
        <v>11</v>
      </c>
      <c r="D75" s="81" t="s">
        <v>11</v>
      </c>
      <c r="E75" s="80" t="s">
        <v>12</v>
      </c>
      <c r="F75" s="81" t="s">
        <v>11</v>
      </c>
      <c r="G75" s="58" t="s">
        <v>13</v>
      </c>
      <c r="H75" s="58">
        <v>1.05</v>
      </c>
      <c r="I75" s="58">
        <v>2012</v>
      </c>
      <c r="J75" s="58" t="s">
        <v>18</v>
      </c>
      <c r="K75" s="58" t="s">
        <v>10</v>
      </c>
      <c r="L75" s="191" t="s">
        <v>44</v>
      </c>
    </row>
    <row r="76" spans="1:12" s="22" customFormat="1" ht="43" thickBot="1">
      <c r="A76" s="194" t="s">
        <v>88</v>
      </c>
      <c r="B76" s="82" t="s">
        <v>9</v>
      </c>
      <c r="C76" s="82" t="s">
        <v>9</v>
      </c>
      <c r="D76" s="82" t="s">
        <v>9</v>
      </c>
      <c r="E76" s="82" t="s">
        <v>9</v>
      </c>
      <c r="F76" s="82" t="s">
        <v>9</v>
      </c>
      <c r="G76" s="83" t="s">
        <v>10</v>
      </c>
      <c r="H76" s="84">
        <v>0.26</v>
      </c>
      <c r="I76" s="84">
        <v>2011</v>
      </c>
      <c r="J76" s="84" t="s">
        <v>17</v>
      </c>
      <c r="K76" s="84" t="s">
        <v>10</v>
      </c>
      <c r="L76" s="192" t="s">
        <v>127</v>
      </c>
    </row>
    <row r="77" spans="1:12" s="22" customFormat="1" ht="29" thickBot="1">
      <c r="A77" s="194" t="s">
        <v>78</v>
      </c>
      <c r="B77" s="23" t="s">
        <v>12</v>
      </c>
      <c r="C77" s="31" t="s">
        <v>11</v>
      </c>
      <c r="D77" s="31" t="s">
        <v>11</v>
      </c>
      <c r="E77" s="23" t="s">
        <v>12</v>
      </c>
      <c r="F77" s="23" t="s">
        <v>12</v>
      </c>
      <c r="G77" s="50" t="s">
        <v>13</v>
      </c>
      <c r="H77" s="50">
        <v>0.97</v>
      </c>
      <c r="I77" s="50">
        <v>2012</v>
      </c>
      <c r="J77" s="50" t="s">
        <v>18</v>
      </c>
      <c r="K77" s="57" t="s">
        <v>10</v>
      </c>
      <c r="L77" s="189" t="s">
        <v>101</v>
      </c>
    </row>
    <row r="78" spans="1:12" s="22" customFormat="1" ht="43" thickBot="1">
      <c r="A78" s="194" t="s">
        <v>79</v>
      </c>
      <c r="B78" s="23" t="s">
        <v>12</v>
      </c>
      <c r="C78" s="31" t="s">
        <v>11</v>
      </c>
      <c r="D78" s="31" t="s">
        <v>11</v>
      </c>
      <c r="E78" s="23" t="s">
        <v>12</v>
      </c>
      <c r="F78" s="23" t="s">
        <v>12</v>
      </c>
      <c r="G78" s="50" t="s">
        <v>13</v>
      </c>
      <c r="H78" s="50">
        <v>6.3</v>
      </c>
      <c r="I78" s="50">
        <v>2012</v>
      </c>
      <c r="J78" s="11" t="s">
        <v>18</v>
      </c>
      <c r="K78" s="50" t="s">
        <v>10</v>
      </c>
      <c r="L78" s="189" t="s">
        <v>100</v>
      </c>
    </row>
    <row r="79" spans="1:12" s="22" customFormat="1" ht="43" thickBot="1">
      <c r="A79" s="194" t="s">
        <v>89</v>
      </c>
      <c r="B79" s="23" t="s">
        <v>12</v>
      </c>
      <c r="C79" s="31" t="s">
        <v>11</v>
      </c>
      <c r="D79" s="31" t="s">
        <v>11</v>
      </c>
      <c r="E79" s="23" t="s">
        <v>12</v>
      </c>
      <c r="F79" s="23" t="s">
        <v>12</v>
      </c>
      <c r="G79" s="50" t="s">
        <v>13</v>
      </c>
      <c r="H79" s="50">
        <v>5.8</v>
      </c>
      <c r="I79" s="50">
        <v>2012</v>
      </c>
      <c r="J79" s="11" t="s">
        <v>18</v>
      </c>
      <c r="K79" s="57" t="s">
        <v>10</v>
      </c>
      <c r="L79" s="189" t="s">
        <v>100</v>
      </c>
    </row>
    <row r="80" spans="1:12" s="22" customFormat="1" ht="43" thickBot="1">
      <c r="A80" s="194" t="s">
        <v>90</v>
      </c>
      <c r="B80" s="23" t="s">
        <v>12</v>
      </c>
      <c r="C80" s="31" t="s">
        <v>11</v>
      </c>
      <c r="D80" s="31" t="s">
        <v>11</v>
      </c>
      <c r="E80" s="23" t="s">
        <v>12</v>
      </c>
      <c r="F80" s="23" t="s">
        <v>12</v>
      </c>
      <c r="G80" s="50" t="s">
        <v>13</v>
      </c>
      <c r="H80" s="50">
        <v>1.1599999999999999</v>
      </c>
      <c r="I80" s="50">
        <v>2012</v>
      </c>
      <c r="J80" s="11" t="s">
        <v>18</v>
      </c>
      <c r="K80" s="57" t="s">
        <v>10</v>
      </c>
      <c r="L80" s="189" t="s">
        <v>100</v>
      </c>
    </row>
  </sheetData>
  <mergeCells count="10">
    <mergeCell ref="H6:H7"/>
    <mergeCell ref="I6:I7"/>
    <mergeCell ref="H42:H43"/>
    <mergeCell ref="I42:I43"/>
    <mergeCell ref="H44:H45"/>
    <mergeCell ref="I44:I45"/>
    <mergeCell ref="I20:I21"/>
    <mergeCell ref="H20:H21"/>
    <mergeCell ref="H18:H19"/>
    <mergeCell ref="I18:I19"/>
  </mergeCells>
  <phoneticPr fontId="36" type="noConversion"/>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5"/>
  <sheetViews>
    <sheetView workbookViewId="0">
      <selection sqref="A1:E2"/>
    </sheetView>
  </sheetViews>
  <sheetFormatPr baseColWidth="10" defaultColWidth="11.1640625" defaultRowHeight="15" x14ac:dyDescent="0"/>
  <cols>
    <col min="1" max="1" width="4.83203125" customWidth="1"/>
    <col min="2" max="2" width="55.6640625" customWidth="1"/>
    <col min="3" max="3" width="16.33203125" style="97" customWidth="1"/>
    <col min="4" max="4" width="4.6640625" customWidth="1"/>
    <col min="5" max="5" width="56" style="42" customWidth="1"/>
    <col min="6" max="6" width="16.83203125" style="98" customWidth="1"/>
    <col min="7" max="7" width="5.6640625" customWidth="1"/>
    <col min="8" max="8" width="57.1640625" customWidth="1"/>
    <col min="9" max="9" width="15" style="97" customWidth="1"/>
    <col min="10" max="10" width="5" customWidth="1"/>
    <col min="11" max="11" width="44.33203125" style="42" customWidth="1"/>
    <col min="12" max="12" width="18" style="97" customWidth="1"/>
    <col min="15" max="15" width="21.83203125" customWidth="1"/>
    <col min="17" max="17" width="22.6640625" customWidth="1"/>
    <col min="18" max="18" width="14.5" customWidth="1"/>
    <col min="19" max="19" width="11.6640625" bestFit="1" customWidth="1"/>
  </cols>
  <sheetData>
    <row r="1" spans="1:21" ht="22" customHeight="1">
      <c r="A1" s="230" t="s">
        <v>439</v>
      </c>
      <c r="B1" s="230"/>
      <c r="C1" s="230"/>
      <c r="D1" s="230"/>
      <c r="E1" s="230"/>
      <c r="I1" s="136"/>
      <c r="L1" s="136"/>
    </row>
    <row r="2" spans="1:21" ht="23" customHeight="1">
      <c r="A2" s="230"/>
      <c r="B2" s="230"/>
      <c r="C2" s="230"/>
      <c r="D2" s="230"/>
      <c r="E2" s="230"/>
      <c r="I2" s="136"/>
      <c r="L2" s="136"/>
    </row>
    <row r="3" spans="1:21" ht="31">
      <c r="B3" s="229" t="s">
        <v>133</v>
      </c>
      <c r="C3" s="229"/>
      <c r="D3" s="91"/>
      <c r="E3" s="99" t="s">
        <v>134</v>
      </c>
      <c r="F3" s="99"/>
      <c r="G3" s="91"/>
      <c r="H3" s="229" t="s">
        <v>135</v>
      </c>
      <c r="I3" s="229"/>
      <c r="K3" s="229" t="s">
        <v>140</v>
      </c>
      <c r="L3" s="229"/>
      <c r="M3" s="12"/>
      <c r="N3" s="12"/>
      <c r="O3" s="116" t="s">
        <v>382</v>
      </c>
      <c r="P3" s="116" t="s">
        <v>136</v>
      </c>
      <c r="Q3" s="117" t="s">
        <v>437</v>
      </c>
      <c r="R3" s="133" t="s">
        <v>423</v>
      </c>
    </row>
    <row r="4" spans="1:21" ht="18">
      <c r="B4" s="92" t="s">
        <v>138</v>
      </c>
      <c r="C4" s="92" t="s">
        <v>139</v>
      </c>
      <c r="D4" s="91"/>
      <c r="E4" s="99" t="s">
        <v>138</v>
      </c>
      <c r="F4" s="99" t="s">
        <v>139</v>
      </c>
      <c r="G4" s="91"/>
      <c r="H4" s="92" t="s">
        <v>138</v>
      </c>
      <c r="I4" s="92" t="s">
        <v>139</v>
      </c>
      <c r="K4" s="99" t="s">
        <v>138</v>
      </c>
      <c r="L4" s="92" t="s">
        <v>139</v>
      </c>
      <c r="M4" s="93"/>
      <c r="N4" s="94"/>
      <c r="O4" s="118" t="s">
        <v>394</v>
      </c>
      <c r="P4" s="119">
        <f>C11</f>
        <v>8.0114999999999998</v>
      </c>
      <c r="Q4" s="120">
        <f>P4/(SUM(P4:P7))</f>
        <v>9.3730366813729107E-3</v>
      </c>
      <c r="R4" s="132">
        <f>P4/SUM(P4:P7)</f>
        <v>9.3730366813729107E-3</v>
      </c>
      <c r="S4" s="94"/>
    </row>
    <row r="5" spans="1:21" ht="30">
      <c r="A5">
        <v>1</v>
      </c>
      <c r="B5" t="s">
        <v>464</v>
      </c>
      <c r="C5" s="231">
        <f>(5.64+7.14)/2</f>
        <v>6.39</v>
      </c>
      <c r="D5" s="154">
        <v>7</v>
      </c>
      <c r="E5" s="151" t="s">
        <v>57</v>
      </c>
      <c r="F5" s="164">
        <v>7.6</v>
      </c>
      <c r="G5" s="154">
        <v>24</v>
      </c>
      <c r="H5" s="154" t="s">
        <v>56</v>
      </c>
      <c r="I5" s="156">
        <f>(17.69+19.63)/2</f>
        <v>18.66</v>
      </c>
      <c r="J5" s="154">
        <v>44</v>
      </c>
      <c r="K5" s="151" t="s">
        <v>462</v>
      </c>
      <c r="L5" s="156">
        <v>5.3949999999999996</v>
      </c>
      <c r="M5" s="154"/>
      <c r="O5" s="118" t="s">
        <v>395</v>
      </c>
      <c r="P5" s="119">
        <f>F24</f>
        <v>75.480499999999992</v>
      </c>
      <c r="Q5" s="120">
        <f>P5/(SUM(P4:P7))</f>
        <v>8.830824380307907E-2</v>
      </c>
      <c r="R5" s="132">
        <f>P5/SUM(P4:P7)</f>
        <v>8.830824380307907E-2</v>
      </c>
      <c r="S5" s="94"/>
      <c r="T5" s="153"/>
    </row>
    <row r="6" spans="1:21" ht="30">
      <c r="A6">
        <v>2</v>
      </c>
      <c r="B6" t="s">
        <v>131</v>
      </c>
      <c r="C6" s="231"/>
      <c r="D6" s="154">
        <v>8</v>
      </c>
      <c r="E6" s="151" t="s">
        <v>463</v>
      </c>
      <c r="F6" s="212">
        <v>8.2100000000000009</v>
      </c>
      <c r="G6" s="154">
        <v>25</v>
      </c>
      <c r="H6" s="154" t="s">
        <v>55</v>
      </c>
      <c r="I6" s="228">
        <f>(50.297+55.537)/2</f>
        <v>52.917000000000002</v>
      </c>
      <c r="J6" s="154">
        <v>45</v>
      </c>
      <c r="K6" s="151" t="s">
        <v>76</v>
      </c>
      <c r="L6" s="156">
        <f>(416.16+398.28)/2</f>
        <v>407.22</v>
      </c>
      <c r="M6" s="154"/>
      <c r="O6" s="118" t="s">
        <v>396</v>
      </c>
      <c r="P6" s="118">
        <f>I25</f>
        <v>358.37199999999996</v>
      </c>
      <c r="Q6" s="120">
        <f>P6/(SUM(P4:P7))</f>
        <v>0.41927652768856927</v>
      </c>
      <c r="R6" s="132">
        <f>P6/SUM(P4:P7)</f>
        <v>0.41927652768856927</v>
      </c>
      <c r="S6" s="94"/>
    </row>
    <row r="7" spans="1:21" ht="30">
      <c r="A7">
        <v>3</v>
      </c>
      <c r="B7" t="s">
        <v>58</v>
      </c>
      <c r="C7" s="228">
        <f>(1.628+0.749)/2</f>
        <v>1.1884999999999999</v>
      </c>
      <c r="D7" s="154">
        <v>9</v>
      </c>
      <c r="E7" s="151" t="s">
        <v>103</v>
      </c>
      <c r="F7" s="232">
        <f>((53.23-(10.21+7.6))+(33.33-(4.72+3.11)))/2</f>
        <v>30.459999999999997</v>
      </c>
      <c r="G7" s="154">
        <v>26</v>
      </c>
      <c r="H7" s="154" t="s">
        <v>97</v>
      </c>
      <c r="I7" s="228"/>
      <c r="J7" s="154">
        <v>46</v>
      </c>
      <c r="K7" s="151" t="s">
        <v>88</v>
      </c>
      <c r="L7" s="156">
        <v>0.26</v>
      </c>
      <c r="M7" s="154"/>
      <c r="O7" s="121" t="s">
        <v>397</v>
      </c>
      <c r="P7" s="118">
        <f>L9</f>
        <v>412.875</v>
      </c>
      <c r="Q7" s="120">
        <f>P7/SUM(P4:P7)</f>
        <v>0.48304219182697883</v>
      </c>
      <c r="R7" s="132">
        <f>P7/SUM(P4:P7)</f>
        <v>0.48304219182697883</v>
      </c>
      <c r="S7" s="94"/>
      <c r="U7" s="93"/>
    </row>
    <row r="8" spans="1:21" ht="30">
      <c r="A8">
        <v>4</v>
      </c>
      <c r="B8" t="s">
        <v>459</v>
      </c>
      <c r="C8" s="228"/>
      <c r="D8" s="154">
        <v>10</v>
      </c>
      <c r="E8" s="151" t="s">
        <v>104</v>
      </c>
      <c r="F8" s="232"/>
      <c r="G8" s="154">
        <v>27</v>
      </c>
      <c r="H8" s="154" t="s">
        <v>96</v>
      </c>
      <c r="I8" s="228"/>
      <c r="J8" s="154"/>
      <c r="K8" s="151"/>
      <c r="L8" s="156"/>
      <c r="M8" s="154"/>
      <c r="P8" s="93"/>
    </row>
    <row r="9" spans="1:21" ht="30">
      <c r="A9">
        <v>5</v>
      </c>
      <c r="B9" t="s">
        <v>465</v>
      </c>
      <c r="C9" s="228">
        <f>(0.429+0.437)/2</f>
        <v>0.433</v>
      </c>
      <c r="D9" s="154">
        <v>11</v>
      </c>
      <c r="E9" s="151" t="s">
        <v>106</v>
      </c>
      <c r="F9" s="232"/>
      <c r="G9" s="154">
        <v>28</v>
      </c>
      <c r="H9" s="154" t="s">
        <v>92</v>
      </c>
      <c r="I9" s="228"/>
      <c r="J9" s="154"/>
      <c r="K9" s="165" t="s">
        <v>142</v>
      </c>
      <c r="L9" s="158">
        <f>SUM(L5:L7)</f>
        <v>412.875</v>
      </c>
      <c r="M9" s="154"/>
    </row>
    <row r="10" spans="1:21">
      <c r="A10">
        <v>6</v>
      </c>
      <c r="B10" t="s">
        <v>461</v>
      </c>
      <c r="C10" s="228"/>
      <c r="D10" s="154">
        <v>12</v>
      </c>
      <c r="E10" s="151" t="s">
        <v>116</v>
      </c>
      <c r="F10" s="232"/>
      <c r="G10" s="154">
        <v>29</v>
      </c>
      <c r="H10" s="154" t="s">
        <v>93</v>
      </c>
      <c r="I10" s="228"/>
      <c r="J10" s="154"/>
      <c r="K10" s="151"/>
      <c r="L10" s="156"/>
      <c r="M10" s="154"/>
    </row>
    <row r="11" spans="1:21" ht="30">
      <c r="B11" s="101" t="s">
        <v>142</v>
      </c>
      <c r="C11" s="166">
        <f>SUM(C5:C10)</f>
        <v>8.0114999999999998</v>
      </c>
      <c r="D11" s="154">
        <v>13</v>
      </c>
      <c r="E11" s="151" t="s">
        <v>119</v>
      </c>
      <c r="F11" s="232"/>
      <c r="G11" s="154">
        <v>30</v>
      </c>
      <c r="H11" s="154" t="s">
        <v>94</v>
      </c>
      <c r="I11" s="228"/>
      <c r="J11" s="154"/>
      <c r="K11" s="151"/>
      <c r="L11" s="156"/>
      <c r="M11" s="154"/>
    </row>
    <row r="12" spans="1:21">
      <c r="C12" s="156"/>
      <c r="D12" s="154">
        <v>14</v>
      </c>
      <c r="E12" s="151" t="s">
        <v>64</v>
      </c>
      <c r="F12" s="164">
        <f>(0.27+0.36)/2</f>
        <v>0.315</v>
      </c>
      <c r="G12" s="154">
        <v>31</v>
      </c>
      <c r="H12" s="154" t="s">
        <v>95</v>
      </c>
      <c r="I12" s="228"/>
      <c r="J12" s="154"/>
      <c r="K12" s="151"/>
      <c r="L12" s="156"/>
      <c r="M12" s="154"/>
    </row>
    <row r="13" spans="1:21" ht="30">
      <c r="C13" s="156"/>
      <c r="D13" s="154">
        <v>15</v>
      </c>
      <c r="E13" s="151" t="s">
        <v>83</v>
      </c>
      <c r="F13" s="164">
        <f>(1.92+1.97)/2</f>
        <v>1.9449999999999998</v>
      </c>
      <c r="G13" s="154">
        <v>32</v>
      </c>
      <c r="H13" s="151" t="s">
        <v>91</v>
      </c>
      <c r="I13" s="228"/>
      <c r="J13" s="154"/>
      <c r="K13" s="151"/>
      <c r="L13" s="156"/>
      <c r="M13" s="154"/>
    </row>
    <row r="14" spans="1:21">
      <c r="C14" s="156"/>
      <c r="D14" s="154">
        <v>16</v>
      </c>
      <c r="E14" s="151" t="s">
        <v>107</v>
      </c>
      <c r="F14" s="167">
        <f>(3.97+3.26)/2</f>
        <v>3.6150000000000002</v>
      </c>
      <c r="G14" s="154">
        <v>33</v>
      </c>
      <c r="H14" s="154" t="s">
        <v>78</v>
      </c>
      <c r="I14" s="228"/>
      <c r="J14" s="154"/>
      <c r="K14" s="151"/>
      <c r="L14" s="156"/>
      <c r="M14" s="154"/>
    </row>
    <row r="15" spans="1:21">
      <c r="C15" s="156"/>
      <c r="D15" s="154">
        <v>17</v>
      </c>
      <c r="E15" s="151" t="s">
        <v>434</v>
      </c>
      <c r="F15" s="167">
        <f>(0.001+0.02)/2</f>
        <v>1.0500000000000001E-2</v>
      </c>
      <c r="G15" s="154">
        <v>34</v>
      </c>
      <c r="H15" s="154" t="s">
        <v>79</v>
      </c>
      <c r="I15" s="228"/>
      <c r="J15" s="154"/>
      <c r="K15" s="151"/>
      <c r="L15" s="156"/>
      <c r="M15" s="154"/>
    </row>
    <row r="16" spans="1:21" ht="30">
      <c r="C16" s="156"/>
      <c r="D16" s="154">
        <v>18</v>
      </c>
      <c r="E16" s="151" t="s">
        <v>109</v>
      </c>
      <c r="F16" s="232">
        <f>(((40.57-(11.78+12.19))+(41.18-25.76))/2)</f>
        <v>16.009999999999998</v>
      </c>
      <c r="G16" s="154">
        <v>35</v>
      </c>
      <c r="H16" s="154" t="s">
        <v>89</v>
      </c>
      <c r="I16" s="228"/>
      <c r="J16" s="154"/>
      <c r="K16" s="151"/>
      <c r="L16" s="156"/>
      <c r="M16" s="154"/>
    </row>
    <row r="17" spans="3:13" ht="30">
      <c r="C17" s="156"/>
      <c r="D17" s="154">
        <v>19</v>
      </c>
      <c r="E17" s="151" t="s">
        <v>114</v>
      </c>
      <c r="F17" s="232"/>
      <c r="G17" s="154">
        <v>36</v>
      </c>
      <c r="H17" s="154" t="s">
        <v>90</v>
      </c>
      <c r="I17" s="228"/>
      <c r="J17" s="154"/>
      <c r="K17" s="151"/>
      <c r="L17" s="156"/>
      <c r="M17" s="154"/>
    </row>
    <row r="18" spans="3:13" ht="30">
      <c r="C18" s="156"/>
      <c r="D18" s="154">
        <v>20</v>
      </c>
      <c r="E18" s="151" t="s">
        <v>111</v>
      </c>
      <c r="F18" s="232"/>
      <c r="G18" s="154">
        <v>37</v>
      </c>
      <c r="H18" s="154" t="s">
        <v>62</v>
      </c>
      <c r="I18" s="156">
        <f>(227+260)/2</f>
        <v>243.5</v>
      </c>
      <c r="J18" s="154"/>
      <c r="K18" s="151"/>
      <c r="L18" s="156"/>
      <c r="M18" s="154"/>
    </row>
    <row r="19" spans="3:13">
      <c r="C19" s="156"/>
      <c r="D19" s="154">
        <v>21</v>
      </c>
      <c r="E19" s="151" t="s">
        <v>112</v>
      </c>
      <c r="F19" s="232"/>
      <c r="G19" s="154">
        <v>38</v>
      </c>
      <c r="H19" s="154" t="s">
        <v>113</v>
      </c>
      <c r="I19" s="156">
        <f>(10.21+4.72)/2</f>
        <v>7.4649999999999999</v>
      </c>
      <c r="J19" s="154"/>
      <c r="K19" s="151"/>
      <c r="L19" s="156"/>
      <c r="M19" s="154"/>
    </row>
    <row r="20" spans="3:13" ht="30">
      <c r="C20" s="156"/>
      <c r="D20" s="154">
        <v>22</v>
      </c>
      <c r="E20" s="151" t="s">
        <v>118</v>
      </c>
      <c r="F20" s="232"/>
      <c r="G20" s="154">
        <v>39</v>
      </c>
      <c r="H20" s="154" t="s">
        <v>105</v>
      </c>
      <c r="I20" s="156">
        <f>(7.6+3.11)/2</f>
        <v>5.3549999999999995</v>
      </c>
      <c r="J20" s="154"/>
      <c r="K20" s="151"/>
      <c r="L20" s="156"/>
      <c r="M20" s="154"/>
    </row>
    <row r="21" spans="3:13">
      <c r="C21" s="156"/>
      <c r="D21" s="154">
        <v>23</v>
      </c>
      <c r="E21" s="168" t="s">
        <v>75</v>
      </c>
      <c r="F21" s="169">
        <f>(1.57+1.75)/2</f>
        <v>1.6600000000000001</v>
      </c>
      <c r="G21" s="154">
        <v>40</v>
      </c>
      <c r="H21" s="154" t="s">
        <v>115</v>
      </c>
      <c r="I21" s="175">
        <f>(16.4+11.78)/2</f>
        <v>14.09</v>
      </c>
      <c r="J21" s="154"/>
      <c r="K21" s="151"/>
      <c r="L21" s="156"/>
      <c r="M21" s="154"/>
    </row>
    <row r="22" spans="3:13" ht="30">
      <c r="C22" s="156"/>
      <c r="D22" s="154">
        <v>24</v>
      </c>
      <c r="E22" s="168" t="s">
        <v>87</v>
      </c>
      <c r="F22" s="170">
        <f>(5.36+5.95)/2</f>
        <v>5.6550000000000002</v>
      </c>
      <c r="G22" s="154">
        <v>41</v>
      </c>
      <c r="H22" s="154" t="s">
        <v>110</v>
      </c>
      <c r="I22" s="175">
        <f>(9.56+12.19)/2</f>
        <v>10.875</v>
      </c>
      <c r="J22" s="154"/>
      <c r="K22" s="151"/>
      <c r="L22" s="156"/>
      <c r="M22" s="154"/>
    </row>
    <row r="23" spans="3:13">
      <c r="C23" s="156"/>
      <c r="D23" s="154"/>
      <c r="E23" s="151"/>
      <c r="F23" s="164"/>
      <c r="G23" s="154">
        <v>42</v>
      </c>
      <c r="H23" s="154" t="s">
        <v>77</v>
      </c>
      <c r="I23" s="156">
        <f>(7.06+3.96)/2</f>
        <v>5.51</v>
      </c>
      <c r="J23" s="154"/>
      <c r="K23" s="151"/>
      <c r="L23" s="156"/>
      <c r="M23" s="154"/>
    </row>
    <row r="24" spans="3:13">
      <c r="E24" s="102" t="s">
        <v>142</v>
      </c>
      <c r="F24" s="103">
        <f>SUM(F5:F22)</f>
        <v>75.480499999999992</v>
      </c>
      <c r="G24">
        <v>43</v>
      </c>
      <c r="H24" t="s">
        <v>129</v>
      </c>
      <c r="I24" s="97" t="s">
        <v>9</v>
      </c>
    </row>
    <row r="25" spans="3:13">
      <c r="H25" s="102" t="s">
        <v>142</v>
      </c>
      <c r="I25" s="103">
        <f>SUM(I5:I24)</f>
        <v>358.37199999999996</v>
      </c>
    </row>
  </sheetData>
  <mergeCells count="10">
    <mergeCell ref="C9:C10"/>
    <mergeCell ref="K3:L3"/>
    <mergeCell ref="A1:E2"/>
    <mergeCell ref="B3:C3"/>
    <mergeCell ref="H3:I3"/>
    <mergeCell ref="C5:C6"/>
    <mergeCell ref="C7:C8"/>
    <mergeCell ref="I6:I17"/>
    <mergeCell ref="F7:F11"/>
    <mergeCell ref="F16:F20"/>
  </mergeCells>
  <pageMargins left="0.75" right="0.75" top="1" bottom="1" header="0.5" footer="0.5"/>
  <pageSetup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5"/>
  <sheetViews>
    <sheetView workbookViewId="0">
      <selection sqref="A1:E2"/>
    </sheetView>
  </sheetViews>
  <sheetFormatPr baseColWidth="10" defaultColWidth="11.1640625" defaultRowHeight="15" x14ac:dyDescent="0"/>
  <cols>
    <col min="1" max="1" width="4.83203125" customWidth="1"/>
    <col min="2" max="2" width="58.33203125" style="42" customWidth="1"/>
    <col min="3" max="3" width="16.33203125" style="97" customWidth="1"/>
    <col min="4" max="4" width="4.6640625" customWidth="1"/>
    <col min="5" max="5" width="51.83203125" style="42" customWidth="1"/>
    <col min="6" max="6" width="16.83203125" style="97" customWidth="1"/>
    <col min="7" max="7" width="5.33203125" customWidth="1"/>
    <col min="8" max="8" width="54.1640625" style="42" customWidth="1"/>
    <col min="9" max="9" width="15" style="97" customWidth="1"/>
    <col min="12" max="12" width="21.83203125" customWidth="1"/>
    <col min="14" max="14" width="22.6640625" customWidth="1"/>
    <col min="15" max="15" width="16.1640625" customWidth="1"/>
  </cols>
  <sheetData>
    <row r="1" spans="1:15" ht="15" customHeight="1">
      <c r="A1" s="234" t="s">
        <v>440</v>
      </c>
      <c r="B1" s="234"/>
      <c r="C1" s="234"/>
      <c r="D1" s="234"/>
      <c r="E1" s="234"/>
      <c r="F1" s="136"/>
      <c r="I1" s="136"/>
    </row>
    <row r="2" spans="1:15">
      <c r="A2" s="234"/>
      <c r="B2" s="234"/>
      <c r="C2" s="234"/>
      <c r="D2" s="234"/>
      <c r="E2" s="234"/>
      <c r="F2" s="136"/>
      <c r="I2" s="136"/>
    </row>
    <row r="3" spans="1:15" ht="31">
      <c r="B3" s="229" t="s">
        <v>133</v>
      </c>
      <c r="C3" s="229"/>
      <c r="D3" s="91"/>
      <c r="E3" s="229" t="s">
        <v>134</v>
      </c>
      <c r="F3" s="229"/>
      <c r="G3" s="91"/>
      <c r="H3" s="229" t="s">
        <v>135</v>
      </c>
      <c r="I3" s="229"/>
      <c r="L3" s="113" t="s">
        <v>382</v>
      </c>
      <c r="M3" s="113" t="s">
        <v>136</v>
      </c>
      <c r="N3" s="114" t="s">
        <v>137</v>
      </c>
      <c r="O3" s="133" t="s">
        <v>423</v>
      </c>
    </row>
    <row r="4" spans="1:15" ht="18">
      <c r="B4" s="99" t="s">
        <v>138</v>
      </c>
      <c r="C4" s="92" t="s">
        <v>139</v>
      </c>
      <c r="D4" s="91"/>
      <c r="E4" s="99" t="s">
        <v>138</v>
      </c>
      <c r="F4" s="92" t="s">
        <v>139</v>
      </c>
      <c r="G4" s="91"/>
      <c r="H4" s="99" t="s">
        <v>138</v>
      </c>
      <c r="I4" s="92" t="s">
        <v>139</v>
      </c>
      <c r="L4" s="115" t="s">
        <v>398</v>
      </c>
      <c r="M4" s="219">
        <f>C10</f>
        <v>39.5</v>
      </c>
      <c r="N4" s="122">
        <f>M4/(SUM(M4:M6))</f>
        <v>0.12216545222866898</v>
      </c>
      <c r="O4" s="132">
        <f>M4/SUM(M4:M6)</f>
        <v>0.12216545222866898</v>
      </c>
    </row>
    <row r="5" spans="1:15">
      <c r="A5">
        <v>1</v>
      </c>
      <c r="B5" s="42" t="s">
        <v>66</v>
      </c>
      <c r="C5" s="231">
        <f>(4.4+4.6)/2</f>
        <v>4.5</v>
      </c>
      <c r="D5" s="154">
        <v>5</v>
      </c>
      <c r="E5" s="151" t="s">
        <v>65</v>
      </c>
      <c r="F5" s="155">
        <f>((16.446+17.495)/2)+((84.949+74.137)/2+((8.919+13.515)/2))</f>
        <v>107.73050000000001</v>
      </c>
      <c r="G5" s="154">
        <v>8</v>
      </c>
      <c r="H5" s="151" t="s">
        <v>27</v>
      </c>
      <c r="I5" s="235">
        <f>(6.4+6.14)/2</f>
        <v>6.27</v>
      </c>
      <c r="L5" s="115" t="s">
        <v>399</v>
      </c>
      <c r="M5" s="219">
        <f>F9</f>
        <v>236.72050000000002</v>
      </c>
      <c r="N5" s="122">
        <f>M5/(SUM(M4:M6))</f>
        <v>0.73212827681763637</v>
      </c>
      <c r="O5" s="132">
        <f>M5/SUM(M4:M6)</f>
        <v>0.73212827681763637</v>
      </c>
    </row>
    <row r="6" spans="1:15" ht="30">
      <c r="A6">
        <v>2</v>
      </c>
      <c r="B6" s="162" t="s">
        <v>67</v>
      </c>
      <c r="C6" s="231"/>
      <c r="D6" s="154">
        <v>6</v>
      </c>
      <c r="E6" s="151" t="s">
        <v>74</v>
      </c>
      <c r="F6" s="231">
        <f>(133.99+123.99)/2</f>
        <v>128.99</v>
      </c>
      <c r="G6" s="154">
        <v>9</v>
      </c>
      <c r="H6" s="151" t="s">
        <v>69</v>
      </c>
      <c r="I6" s="235"/>
      <c r="L6" s="115" t="s">
        <v>400</v>
      </c>
      <c r="M6" s="219">
        <f>I15</f>
        <v>47.111499999999999</v>
      </c>
      <c r="N6" s="122">
        <f>M6/(SUM(M4:M6))</f>
        <v>0.14570627095369465</v>
      </c>
      <c r="O6" s="132">
        <f>M6/SUM(M4:M6)</f>
        <v>0.14570627095369465</v>
      </c>
    </row>
    <row r="7" spans="1:15" ht="30">
      <c r="A7">
        <v>3</v>
      </c>
      <c r="B7" s="163" t="s">
        <v>68</v>
      </c>
      <c r="C7" s="235">
        <f>(36+34)/2</f>
        <v>35</v>
      </c>
      <c r="D7" s="154">
        <v>7</v>
      </c>
      <c r="E7" s="151" t="s">
        <v>80</v>
      </c>
      <c r="F7" s="231"/>
      <c r="G7" s="154">
        <v>10</v>
      </c>
      <c r="H7" s="151" t="s">
        <v>72</v>
      </c>
      <c r="I7" s="155">
        <f>(5.32+6.91)/2</f>
        <v>6.1150000000000002</v>
      </c>
    </row>
    <row r="8" spans="1:15" ht="30">
      <c r="A8">
        <v>4</v>
      </c>
      <c r="B8" s="163" t="s">
        <v>84</v>
      </c>
      <c r="C8" s="235"/>
      <c r="D8" s="154"/>
      <c r="E8" s="151"/>
      <c r="F8" s="159"/>
      <c r="G8" s="154">
        <v>11</v>
      </c>
      <c r="H8" s="151" t="s">
        <v>71</v>
      </c>
      <c r="I8" s="156">
        <f>(4.43+2.83)/2</f>
        <v>3.63</v>
      </c>
    </row>
    <row r="9" spans="1:15">
      <c r="C9" s="156"/>
      <c r="D9" s="154"/>
      <c r="E9" s="160" t="s">
        <v>142</v>
      </c>
      <c r="F9" s="158">
        <f>SUM(F5:F7)</f>
        <v>236.72050000000002</v>
      </c>
      <c r="G9" s="154">
        <v>12</v>
      </c>
      <c r="H9" s="151" t="s">
        <v>73</v>
      </c>
      <c r="I9" s="157">
        <f>(19.92+16.78)/2</f>
        <v>18.350000000000001</v>
      </c>
    </row>
    <row r="10" spans="1:15">
      <c r="B10" s="101" t="s">
        <v>142</v>
      </c>
      <c r="C10" s="158">
        <f>SUM(C5:C8)</f>
        <v>39.5</v>
      </c>
      <c r="G10" s="154">
        <v>13</v>
      </c>
      <c r="H10" s="151" t="s">
        <v>63</v>
      </c>
      <c r="I10" s="156">
        <f>(7.58+8.44)/2</f>
        <v>8.01</v>
      </c>
    </row>
    <row r="11" spans="1:15" ht="30">
      <c r="C11" s="156"/>
      <c r="G11" s="154">
        <v>14</v>
      </c>
      <c r="H11" s="151" t="s">
        <v>70</v>
      </c>
      <c r="I11" s="233">
        <f>(4.8+4.673)/2</f>
        <v>4.7364999999999995</v>
      </c>
    </row>
    <row r="12" spans="1:15" ht="30">
      <c r="G12" s="154">
        <v>15</v>
      </c>
      <c r="H12" s="151" t="s">
        <v>86</v>
      </c>
      <c r="I12" s="233"/>
    </row>
    <row r="13" spans="1:15">
      <c r="G13" s="154">
        <v>16</v>
      </c>
      <c r="H13" s="151" t="s">
        <v>85</v>
      </c>
      <c r="I13" s="161">
        <v>0</v>
      </c>
    </row>
    <row r="15" spans="1:15">
      <c r="H15" s="101" t="s">
        <v>142</v>
      </c>
      <c r="I15" s="139">
        <f>SUM(I5:I13)</f>
        <v>47.111499999999999</v>
      </c>
    </row>
  </sheetData>
  <mergeCells count="9">
    <mergeCell ref="H3:I3"/>
    <mergeCell ref="C5:C6"/>
    <mergeCell ref="F6:F7"/>
    <mergeCell ref="I11:I12"/>
    <mergeCell ref="A1:E2"/>
    <mergeCell ref="C7:C8"/>
    <mergeCell ref="I5:I6"/>
    <mergeCell ref="B3:C3"/>
    <mergeCell ref="E3:F3"/>
  </mergeCells>
  <pageMargins left="0.75" right="0.75" top="1" bottom="1" header="0.5" footer="0.5"/>
  <pageSetup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6"/>
  <sheetViews>
    <sheetView workbookViewId="0">
      <selection sqref="A1:G2"/>
    </sheetView>
  </sheetViews>
  <sheetFormatPr baseColWidth="10" defaultColWidth="11" defaultRowHeight="15" x14ac:dyDescent="0"/>
  <cols>
    <col min="1" max="1" width="6" customWidth="1"/>
    <col min="2" max="2" width="37.6640625" customWidth="1"/>
    <col min="3" max="3" width="21.1640625" style="97" customWidth="1"/>
    <col min="6" max="6" width="6" customWidth="1"/>
    <col min="7" max="7" width="46.1640625" style="42" customWidth="1"/>
    <col min="8" max="8" width="21.1640625" style="97" customWidth="1"/>
    <col min="12" max="12" width="14.6640625" customWidth="1"/>
    <col min="13" max="13" width="13.33203125" customWidth="1"/>
    <col min="14" max="14" width="12.6640625" customWidth="1"/>
  </cols>
  <sheetData>
    <row r="1" spans="1:16">
      <c r="A1" s="230" t="s">
        <v>441</v>
      </c>
      <c r="B1" s="230"/>
      <c r="C1" s="230"/>
      <c r="D1" s="230"/>
      <c r="E1" s="230"/>
      <c r="F1" s="230"/>
      <c r="G1" s="230"/>
      <c r="H1" s="136"/>
    </row>
    <row r="2" spans="1:16">
      <c r="A2" s="230"/>
      <c r="B2" s="230"/>
      <c r="C2" s="230"/>
      <c r="D2" s="230"/>
      <c r="E2" s="230"/>
      <c r="F2" s="230"/>
      <c r="G2" s="230"/>
      <c r="H2" s="136"/>
    </row>
    <row r="3" spans="1:16" ht="18">
      <c r="A3" s="229" t="s">
        <v>386</v>
      </c>
      <c r="B3" s="229"/>
      <c r="C3" s="229"/>
      <c r="D3" s="229"/>
      <c r="F3" s="229" t="s">
        <v>387</v>
      </c>
      <c r="G3" s="229"/>
      <c r="H3" s="229"/>
      <c r="I3" s="229"/>
      <c r="K3" s="118"/>
      <c r="L3" s="118" t="s">
        <v>403</v>
      </c>
      <c r="M3" s="118" t="s">
        <v>404</v>
      </c>
      <c r="N3" s="118" t="s">
        <v>402</v>
      </c>
      <c r="O3" s="121" t="s">
        <v>427</v>
      </c>
      <c r="P3" s="121" t="s">
        <v>428</v>
      </c>
    </row>
    <row r="4" spans="1:16" ht="18">
      <c r="B4" s="92" t="s">
        <v>138</v>
      </c>
      <c r="C4" s="92" t="s">
        <v>139</v>
      </c>
      <c r="D4" s="111" t="s">
        <v>383</v>
      </c>
      <c r="G4" s="99" t="s">
        <v>138</v>
      </c>
      <c r="H4" s="92" t="s">
        <v>139</v>
      </c>
      <c r="I4" s="111" t="s">
        <v>383</v>
      </c>
      <c r="K4" s="118" t="s">
        <v>385</v>
      </c>
      <c r="L4" s="119">
        <f>SUM(C5:C13)</f>
        <v>313.30290909090905</v>
      </c>
      <c r="M4" s="118">
        <f>SUM(H5:H11)</f>
        <v>15.609999999999998</v>
      </c>
      <c r="N4" s="121">
        <v>0</v>
      </c>
      <c r="O4" s="134">
        <f>SUM(L4:N4)</f>
        <v>328.91290909090907</v>
      </c>
      <c r="P4" s="135">
        <f>O4/SUM(O4:O7)</f>
        <v>0.10267939596382139</v>
      </c>
    </row>
    <row r="5" spans="1:16" ht="30">
      <c r="A5">
        <v>1</v>
      </c>
      <c r="B5" s="42" t="s">
        <v>66</v>
      </c>
      <c r="C5" s="231">
        <v>4.5</v>
      </c>
      <c r="D5" s="154" t="s">
        <v>385</v>
      </c>
      <c r="E5" s="154"/>
      <c r="F5" s="154">
        <v>1</v>
      </c>
      <c r="G5" s="151" t="s">
        <v>57</v>
      </c>
      <c r="H5" s="156">
        <v>7.6</v>
      </c>
      <c r="I5" t="s">
        <v>385</v>
      </c>
      <c r="K5" s="118" t="s">
        <v>384</v>
      </c>
      <c r="L5" s="119">
        <f>SUM(C14:C18)</f>
        <v>45.0051728110599</v>
      </c>
      <c r="M5" s="118">
        <v>0</v>
      </c>
      <c r="N5" s="118">
        <v>0</v>
      </c>
      <c r="O5" s="134">
        <f t="shared" ref="O5:O7" si="0">SUM(L5:N5)</f>
        <v>45.0051728110599</v>
      </c>
      <c r="P5" s="135">
        <f>O5/SUM(O4:O7)</f>
        <v>1.4049627824761933E-2</v>
      </c>
    </row>
    <row r="6" spans="1:16" ht="30">
      <c r="A6">
        <v>2</v>
      </c>
      <c r="B6" s="42" t="s">
        <v>67</v>
      </c>
      <c r="C6" s="231"/>
      <c r="D6" s="154" t="s">
        <v>385</v>
      </c>
      <c r="E6" s="154"/>
      <c r="F6" s="154">
        <v>2</v>
      </c>
      <c r="G6" s="151" t="s">
        <v>130</v>
      </c>
      <c r="H6" s="231">
        <v>6.39</v>
      </c>
      <c r="I6" t="s">
        <v>385</v>
      </c>
      <c r="K6" s="118" t="s">
        <v>388</v>
      </c>
      <c r="L6" s="121">
        <v>0</v>
      </c>
      <c r="M6" s="121">
        <f>SUM(H12:H32)</f>
        <v>149.42500000000001</v>
      </c>
      <c r="N6" s="121">
        <v>0</v>
      </c>
      <c r="O6" s="134">
        <f t="shared" si="0"/>
        <v>149.42500000000001</v>
      </c>
      <c r="P6" s="135">
        <f>O6/SUM(O4:O7)</f>
        <v>4.6647207567196328E-2</v>
      </c>
    </row>
    <row r="7" spans="1:16" ht="30">
      <c r="A7">
        <v>3</v>
      </c>
      <c r="B7" s="42" t="s">
        <v>68</v>
      </c>
      <c r="C7" s="235">
        <v>35</v>
      </c>
      <c r="D7" s="154" t="s">
        <v>385</v>
      </c>
      <c r="E7" s="154"/>
      <c r="F7" s="154">
        <v>3</v>
      </c>
      <c r="G7" s="151" t="s">
        <v>131</v>
      </c>
      <c r="H7" s="231"/>
      <c r="I7" t="s">
        <v>385</v>
      </c>
      <c r="K7" s="118" t="s">
        <v>401</v>
      </c>
      <c r="L7" s="152">
        <f>535.5-SUM(L4:L6)</f>
        <v>177.19191809803107</v>
      </c>
      <c r="M7" s="121">
        <f>2034.7-SUM(M4:M6)</f>
        <v>1869.665</v>
      </c>
      <c r="N7" s="121">
        <v>633.1</v>
      </c>
      <c r="O7" s="134">
        <f t="shared" si="0"/>
        <v>2679.9569180980311</v>
      </c>
      <c r="P7" s="135">
        <f>O7/SUM(O4:O7)</f>
        <v>0.83662376864422028</v>
      </c>
    </row>
    <row r="8" spans="1:16" ht="30">
      <c r="A8">
        <v>4</v>
      </c>
      <c r="B8" s="42" t="s">
        <v>84</v>
      </c>
      <c r="C8" s="235"/>
      <c r="D8" s="154" t="s">
        <v>385</v>
      </c>
      <c r="E8" s="154"/>
      <c r="F8" s="154">
        <v>4</v>
      </c>
      <c r="G8" s="151" t="s">
        <v>58</v>
      </c>
      <c r="H8" s="231">
        <v>1.19</v>
      </c>
      <c r="I8" t="s">
        <v>385</v>
      </c>
    </row>
    <row r="9" spans="1:16" ht="30">
      <c r="A9">
        <v>5</v>
      </c>
      <c r="B9" s="151" t="s">
        <v>65</v>
      </c>
      <c r="C9" s="157">
        <v>110.15</v>
      </c>
      <c r="D9" s="154" t="s">
        <v>385</v>
      </c>
      <c r="E9" s="154"/>
      <c r="F9" s="154">
        <v>7</v>
      </c>
      <c r="G9" s="151" t="s">
        <v>61</v>
      </c>
      <c r="H9" s="231"/>
      <c r="I9" t="s">
        <v>385</v>
      </c>
    </row>
    <row r="10" spans="1:16" ht="30">
      <c r="A10">
        <v>6</v>
      </c>
      <c r="B10" s="151" t="s">
        <v>73</v>
      </c>
      <c r="C10" s="157">
        <v>18.350000000000001</v>
      </c>
      <c r="D10" s="154" t="s">
        <v>385</v>
      </c>
      <c r="E10" s="154"/>
      <c r="F10" s="154">
        <v>5</v>
      </c>
      <c r="G10" s="151" t="s">
        <v>59</v>
      </c>
      <c r="H10" s="231">
        <v>0.43</v>
      </c>
      <c r="I10" t="s">
        <v>385</v>
      </c>
    </row>
    <row r="11" spans="1:16" ht="30">
      <c r="A11">
        <v>7</v>
      </c>
      <c r="B11" s="151" t="s">
        <v>80</v>
      </c>
      <c r="C11" s="157">
        <f>(128.11+122.66)/2</f>
        <v>125.38500000000001</v>
      </c>
      <c r="D11" s="154" t="s">
        <v>385</v>
      </c>
      <c r="E11" s="154"/>
      <c r="F11" s="154">
        <v>6</v>
      </c>
      <c r="G11" s="151" t="s">
        <v>60</v>
      </c>
      <c r="H11" s="231"/>
      <c r="I11" t="s">
        <v>385</v>
      </c>
    </row>
    <row r="12" spans="1:16">
      <c r="A12">
        <v>8</v>
      </c>
      <c r="B12" s="42" t="s">
        <v>407</v>
      </c>
      <c r="C12" s="155">
        <f>(((48.3-17)+48.3)/2)/2.2</f>
        <v>18.090909090909086</v>
      </c>
      <c r="D12" s="154" t="s">
        <v>385</v>
      </c>
      <c r="E12" s="154"/>
      <c r="F12" s="154">
        <v>8</v>
      </c>
      <c r="G12" s="151" t="s">
        <v>56</v>
      </c>
      <c r="H12" s="156">
        <v>18.66</v>
      </c>
      <c r="I12" t="s">
        <v>388</v>
      </c>
    </row>
    <row r="13" spans="1:16" ht="30">
      <c r="A13">
        <v>9</v>
      </c>
      <c r="B13" s="42" t="s">
        <v>408</v>
      </c>
      <c r="C13" s="155">
        <f>(1.979+1.675)/2</f>
        <v>1.827</v>
      </c>
      <c r="D13" s="154" t="s">
        <v>385</v>
      </c>
      <c r="E13" s="154"/>
      <c r="F13" s="154">
        <v>9</v>
      </c>
      <c r="G13" s="151" t="s">
        <v>55</v>
      </c>
      <c r="H13" s="231">
        <v>52.92</v>
      </c>
      <c r="I13" t="s">
        <v>388</v>
      </c>
    </row>
    <row r="14" spans="1:16" ht="30">
      <c r="A14">
        <v>10</v>
      </c>
      <c r="B14" s="42" t="s">
        <v>409</v>
      </c>
      <c r="C14" s="155">
        <f>(15.723+18.939)/2</f>
        <v>17.331</v>
      </c>
      <c r="D14" s="154" t="s">
        <v>384</v>
      </c>
      <c r="E14" s="154"/>
      <c r="F14" s="154">
        <v>10</v>
      </c>
      <c r="G14" s="151" t="s">
        <v>97</v>
      </c>
      <c r="H14" s="231"/>
      <c r="I14" t="s">
        <v>388</v>
      </c>
    </row>
    <row r="15" spans="1:16" ht="30">
      <c r="A15">
        <v>11</v>
      </c>
      <c r="B15" s="42" t="s">
        <v>410</v>
      </c>
      <c r="C15" s="155">
        <f>(17.035+18.378)/2</f>
        <v>17.706499999999998</v>
      </c>
      <c r="D15" s="154" t="s">
        <v>384</v>
      </c>
      <c r="E15" s="154"/>
      <c r="F15" s="154">
        <v>11</v>
      </c>
      <c r="G15" s="151" t="s">
        <v>96</v>
      </c>
      <c r="H15" s="231"/>
      <c r="I15" t="s">
        <v>388</v>
      </c>
    </row>
    <row r="16" spans="1:16" ht="30">
      <c r="A16">
        <v>12</v>
      </c>
      <c r="B16" s="151" t="s">
        <v>72</v>
      </c>
      <c r="C16" s="156">
        <v>6.12</v>
      </c>
      <c r="D16" s="154" t="s">
        <v>384</v>
      </c>
      <c r="E16" s="154"/>
      <c r="F16" s="154">
        <v>12</v>
      </c>
      <c r="G16" s="151" t="s">
        <v>92</v>
      </c>
      <c r="H16" s="231"/>
      <c r="I16" t="s">
        <v>388</v>
      </c>
    </row>
    <row r="17" spans="1:9" ht="30">
      <c r="A17">
        <v>13</v>
      </c>
      <c r="B17" s="151" t="s">
        <v>71</v>
      </c>
      <c r="C17" s="156">
        <v>3.63</v>
      </c>
      <c r="D17" s="154" t="s">
        <v>384</v>
      </c>
      <c r="E17" s="154"/>
      <c r="F17" s="154">
        <v>13</v>
      </c>
      <c r="G17" s="151" t="s">
        <v>93</v>
      </c>
      <c r="H17" s="231"/>
      <c r="I17" t="s">
        <v>388</v>
      </c>
    </row>
    <row r="18" spans="1:9" ht="30">
      <c r="A18">
        <v>14</v>
      </c>
      <c r="B18" s="151" t="s">
        <v>70</v>
      </c>
      <c r="C18" s="171">
        <f>(0.22+((4.673)*(10/217)))/2</f>
        <v>0.21767281105990782</v>
      </c>
      <c r="D18" s="154" t="s">
        <v>384</v>
      </c>
      <c r="E18" s="154"/>
      <c r="F18" s="154">
        <v>14</v>
      </c>
      <c r="G18" s="151" t="s">
        <v>95</v>
      </c>
      <c r="H18" s="231"/>
      <c r="I18" t="s">
        <v>388</v>
      </c>
    </row>
    <row r="19" spans="1:9" ht="30">
      <c r="B19" s="102" t="s">
        <v>143</v>
      </c>
      <c r="C19" s="158">
        <f>SUM(C5:C18)</f>
        <v>358.30808190196899</v>
      </c>
      <c r="D19" s="154"/>
      <c r="E19" s="154"/>
      <c r="F19" s="154">
        <v>19</v>
      </c>
      <c r="G19" s="151" t="s">
        <v>91</v>
      </c>
      <c r="H19" s="231"/>
      <c r="I19" t="s">
        <v>388</v>
      </c>
    </row>
    <row r="20" spans="1:9">
      <c r="B20" s="46" t="s">
        <v>389</v>
      </c>
      <c r="C20" s="172">
        <f>C19/535.5</f>
        <v>0.66910939664233238</v>
      </c>
      <c r="D20" s="154"/>
      <c r="E20" s="154"/>
      <c r="F20" s="154">
        <v>20</v>
      </c>
      <c r="G20" s="151" t="s">
        <v>78</v>
      </c>
      <c r="H20" s="231"/>
      <c r="I20" t="s">
        <v>388</v>
      </c>
    </row>
    <row r="21" spans="1:9">
      <c r="B21" s="112" t="s">
        <v>390</v>
      </c>
      <c r="C21" s="173">
        <f>SUM(C5:C11)/535.5</f>
        <v>0.54787114845938378</v>
      </c>
      <c r="D21" s="154"/>
      <c r="E21" s="154"/>
      <c r="F21" s="154">
        <v>21</v>
      </c>
      <c r="G21" s="151" t="s">
        <v>79</v>
      </c>
      <c r="H21" s="231"/>
      <c r="I21" t="s">
        <v>388</v>
      </c>
    </row>
    <row r="22" spans="1:9" ht="30">
      <c r="B22" s="112" t="s">
        <v>391</v>
      </c>
      <c r="C22" s="173">
        <f>SUM(C16:C18)/535.5</f>
        <v>1.8613768087880313E-2</v>
      </c>
      <c r="D22" s="154"/>
      <c r="E22" s="154"/>
      <c r="F22" s="154">
        <v>22</v>
      </c>
      <c r="G22" s="151" t="s">
        <v>89</v>
      </c>
      <c r="H22" s="231"/>
      <c r="I22" t="s">
        <v>388</v>
      </c>
    </row>
    <row r="23" spans="1:9" ht="30">
      <c r="C23" s="156"/>
      <c r="D23" s="154"/>
      <c r="E23" s="154"/>
      <c r="F23" s="154">
        <v>23</v>
      </c>
      <c r="G23" s="151" t="s">
        <v>90</v>
      </c>
      <c r="H23" s="231"/>
      <c r="I23" t="s">
        <v>388</v>
      </c>
    </row>
    <row r="24" spans="1:9" ht="30">
      <c r="C24" s="156"/>
      <c r="D24" s="154"/>
      <c r="E24" s="154"/>
      <c r="F24" s="154">
        <v>15</v>
      </c>
      <c r="G24" s="151" t="s">
        <v>113</v>
      </c>
      <c r="H24" s="156">
        <f>(10.21+4.72)/2</f>
        <v>7.4649999999999999</v>
      </c>
      <c r="I24" t="s">
        <v>388</v>
      </c>
    </row>
    <row r="25" spans="1:9" ht="30">
      <c r="C25" s="156"/>
      <c r="D25" s="154"/>
      <c r="E25" s="154"/>
      <c r="F25" s="154">
        <v>16</v>
      </c>
      <c r="G25" s="151" t="s">
        <v>105</v>
      </c>
      <c r="H25" s="156">
        <f>(7.6+3.11)/2</f>
        <v>5.3549999999999995</v>
      </c>
      <c r="I25" t="s">
        <v>388</v>
      </c>
    </row>
    <row r="26" spans="1:9" ht="30">
      <c r="C26" s="156"/>
      <c r="D26" s="154"/>
      <c r="E26" s="154"/>
      <c r="F26" s="154">
        <v>17</v>
      </c>
      <c r="G26" s="151" t="s">
        <v>115</v>
      </c>
      <c r="H26" s="175">
        <f>(16.4+11.78)/2</f>
        <v>14.09</v>
      </c>
      <c r="I26" t="s">
        <v>388</v>
      </c>
    </row>
    <row r="27" spans="1:9" ht="30">
      <c r="C27" s="156"/>
      <c r="D27" s="154"/>
      <c r="E27" s="154"/>
      <c r="F27" s="154">
        <v>18</v>
      </c>
      <c r="G27" s="151" t="s">
        <v>110</v>
      </c>
      <c r="H27" s="175">
        <f>(9.56+12.19)/2</f>
        <v>10.875</v>
      </c>
      <c r="I27" t="s">
        <v>388</v>
      </c>
    </row>
    <row r="28" spans="1:9" ht="30">
      <c r="C28" s="156"/>
      <c r="D28" s="154"/>
      <c r="E28" s="154"/>
      <c r="F28" s="154">
        <v>24</v>
      </c>
      <c r="G28" s="151" t="s">
        <v>116</v>
      </c>
      <c r="H28" s="155">
        <f>(26.94+21.95)/2</f>
        <v>24.445</v>
      </c>
      <c r="I28" t="s">
        <v>388</v>
      </c>
    </row>
    <row r="29" spans="1:9" ht="30">
      <c r="C29" s="156"/>
      <c r="D29" s="154"/>
      <c r="E29" s="154"/>
      <c r="F29" s="154">
        <v>25</v>
      </c>
      <c r="G29" s="151" t="s">
        <v>119</v>
      </c>
      <c r="H29" s="156" t="s">
        <v>9</v>
      </c>
      <c r="I29" t="s">
        <v>388</v>
      </c>
    </row>
    <row r="30" spans="1:9" ht="30">
      <c r="C30" s="156"/>
      <c r="D30" s="154"/>
      <c r="E30" s="154"/>
      <c r="F30" s="154">
        <v>26</v>
      </c>
      <c r="G30" s="151" t="s">
        <v>117</v>
      </c>
      <c r="H30" s="156">
        <f>(3.06+3.74)/2</f>
        <v>3.4000000000000004</v>
      </c>
      <c r="I30" t="s">
        <v>388</v>
      </c>
    </row>
    <row r="31" spans="1:9" ht="30">
      <c r="C31" s="156"/>
      <c r="D31" s="154"/>
      <c r="E31" s="154"/>
      <c r="F31" s="154">
        <v>27</v>
      </c>
      <c r="G31" s="151" t="s">
        <v>112</v>
      </c>
      <c r="H31" s="155">
        <f>+(12.05+12.38)/2</f>
        <v>12.215</v>
      </c>
      <c r="I31" t="s">
        <v>388</v>
      </c>
    </row>
    <row r="32" spans="1:9" ht="30">
      <c r="C32" s="156"/>
      <c r="D32" s="154"/>
      <c r="E32" s="154"/>
      <c r="F32" s="154">
        <v>28</v>
      </c>
      <c r="G32" s="151" t="s">
        <v>118</v>
      </c>
      <c r="H32" s="156" t="s">
        <v>9</v>
      </c>
      <c r="I32" t="s">
        <v>388</v>
      </c>
    </row>
    <row r="33" spans="7:8">
      <c r="G33" s="102" t="s">
        <v>143</v>
      </c>
      <c r="H33" s="100">
        <f>SUM(H5:H32)</f>
        <v>165.03500000000003</v>
      </c>
    </row>
    <row r="34" spans="7:8">
      <c r="G34" s="102" t="s">
        <v>392</v>
      </c>
      <c r="H34" s="110">
        <f>H33/2034.7</f>
        <v>8.1110237381432165E-2</v>
      </c>
    </row>
    <row r="35" spans="7:8">
      <c r="G35" s="112" t="s">
        <v>390</v>
      </c>
      <c r="H35" s="110">
        <f>SUM(H5:H11)/2034.7</f>
        <v>7.6718926623089382E-3</v>
      </c>
    </row>
    <row r="36" spans="7:8">
      <c r="G36" s="112" t="s">
        <v>393</v>
      </c>
      <c r="H36" s="110">
        <f>SUM(H12:H32)/2034.7</f>
        <v>7.3438344719123222E-2</v>
      </c>
    </row>
  </sheetData>
  <mergeCells count="9">
    <mergeCell ref="H13:H23"/>
    <mergeCell ref="A1:G2"/>
    <mergeCell ref="H10:H11"/>
    <mergeCell ref="C5:C6"/>
    <mergeCell ref="C7:C8"/>
    <mergeCell ref="A3:D3"/>
    <mergeCell ref="F3:I3"/>
    <mergeCell ref="H6:H7"/>
    <mergeCell ref="H8:H9"/>
  </mergeCells>
  <pageMargins left="0.75" right="0.75" top="1" bottom="1" header="0.5" footer="0.5"/>
  <pageSetup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workbookViewId="0"/>
  </sheetViews>
  <sheetFormatPr baseColWidth="10" defaultColWidth="11" defaultRowHeight="15" x14ac:dyDescent="0"/>
  <cols>
    <col min="1" max="1" width="29.5" customWidth="1"/>
    <col min="2" max="4" width="12.6640625" customWidth="1"/>
    <col min="5" max="5" width="12.33203125" customWidth="1"/>
    <col min="6" max="6" width="13.1640625" customWidth="1"/>
    <col min="7" max="7" width="13.6640625" customWidth="1"/>
    <col min="9" max="10" width="12.83203125" customWidth="1"/>
    <col min="12" max="12" width="14" customWidth="1"/>
    <col min="13" max="13" width="12.6640625" customWidth="1"/>
  </cols>
  <sheetData>
    <row r="1" spans="1:14">
      <c r="A1" s="137" t="s">
        <v>444</v>
      </c>
    </row>
    <row r="3" spans="1:14" ht="52">
      <c r="A3" s="123"/>
      <c r="B3" s="129" t="s">
        <v>414</v>
      </c>
      <c r="C3" s="131" t="s">
        <v>413</v>
      </c>
      <c r="D3" s="129" t="s">
        <v>415</v>
      </c>
      <c r="E3" s="131" t="s">
        <v>416</v>
      </c>
      <c r="F3" s="129" t="s">
        <v>417</v>
      </c>
      <c r="G3" s="131" t="s">
        <v>412</v>
      </c>
      <c r="H3" s="129" t="s">
        <v>418</v>
      </c>
      <c r="I3" s="129" t="s">
        <v>419</v>
      </c>
      <c r="J3" s="130" t="s">
        <v>420</v>
      </c>
      <c r="K3" s="129" t="s">
        <v>421</v>
      </c>
      <c r="L3" s="129" t="s">
        <v>422</v>
      </c>
      <c r="M3" s="129" t="s">
        <v>424</v>
      </c>
      <c r="N3" s="130" t="s">
        <v>141</v>
      </c>
    </row>
    <row r="4" spans="1:14">
      <c r="A4" s="124" t="s">
        <v>406</v>
      </c>
      <c r="B4" s="124">
        <v>0</v>
      </c>
      <c r="C4" s="124">
        <v>0</v>
      </c>
      <c r="D4" s="124">
        <v>0</v>
      </c>
      <c r="E4" s="124">
        <v>0</v>
      </c>
      <c r="F4" s="125">
        <v>4</v>
      </c>
      <c r="G4" s="125">
        <v>2</v>
      </c>
      <c r="H4" s="125">
        <v>0</v>
      </c>
      <c r="I4" s="125">
        <v>2</v>
      </c>
      <c r="J4" s="125">
        <v>0</v>
      </c>
      <c r="K4" s="125">
        <v>5</v>
      </c>
      <c r="L4" s="124">
        <v>0</v>
      </c>
      <c r="M4" s="124">
        <v>4</v>
      </c>
      <c r="N4">
        <f>SUM(B4:M4)</f>
        <v>17</v>
      </c>
    </row>
    <row r="5" spans="1:14">
      <c r="A5" s="126" t="s">
        <v>445</v>
      </c>
      <c r="B5" s="126">
        <v>6</v>
      </c>
      <c r="C5" s="126">
        <v>10</v>
      </c>
      <c r="D5" s="126">
        <v>4</v>
      </c>
      <c r="E5" s="127">
        <v>3</v>
      </c>
      <c r="F5" s="127">
        <v>31</v>
      </c>
      <c r="G5" s="127">
        <v>4</v>
      </c>
      <c r="H5" s="127">
        <v>6</v>
      </c>
      <c r="I5" s="127">
        <v>2</v>
      </c>
      <c r="J5" s="127">
        <v>1</v>
      </c>
      <c r="K5" s="127">
        <v>0</v>
      </c>
      <c r="L5" s="127">
        <v>1</v>
      </c>
      <c r="M5" s="126">
        <v>0</v>
      </c>
      <c r="N5">
        <f t="shared" ref="N5:N6" si="0">SUM(B5:M5)</f>
        <v>68</v>
      </c>
    </row>
    <row r="6" spans="1:14">
      <c r="A6" t="s">
        <v>446</v>
      </c>
      <c r="B6">
        <v>0</v>
      </c>
      <c r="C6">
        <v>0</v>
      </c>
      <c r="D6">
        <v>0</v>
      </c>
      <c r="E6">
        <v>0</v>
      </c>
      <c r="F6">
        <v>0</v>
      </c>
      <c r="G6">
        <v>1</v>
      </c>
      <c r="H6">
        <v>0</v>
      </c>
      <c r="I6">
        <v>0</v>
      </c>
      <c r="J6">
        <v>2</v>
      </c>
      <c r="K6">
        <v>0</v>
      </c>
      <c r="L6">
        <v>2</v>
      </c>
      <c r="M6">
        <v>0</v>
      </c>
      <c r="N6">
        <f t="shared" si="0"/>
        <v>5</v>
      </c>
    </row>
    <row r="7" spans="1:14">
      <c r="N7">
        <f>SUM(N4:N6)</f>
        <v>90</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7"/>
  <sheetViews>
    <sheetView zoomScale="80" zoomScaleNormal="80" zoomScalePageLayoutView="80" workbookViewId="0">
      <pane ySplit="4" topLeftCell="A172" activePane="bottomLeft" state="frozen"/>
      <selection pane="bottomLeft" sqref="A1:G2"/>
    </sheetView>
  </sheetViews>
  <sheetFormatPr baseColWidth="10" defaultColWidth="11.1640625" defaultRowHeight="15" x14ac:dyDescent="0"/>
  <cols>
    <col min="1" max="1" width="28.5" customWidth="1"/>
    <col min="2" max="3" width="38.1640625" customWidth="1"/>
    <col min="4" max="4" width="42.1640625" customWidth="1"/>
    <col min="5" max="6" width="15.6640625" customWidth="1"/>
    <col min="7" max="7" width="28.1640625" customWidth="1"/>
  </cols>
  <sheetData>
    <row r="1" spans="1:7">
      <c r="A1" s="236" t="s">
        <v>442</v>
      </c>
      <c r="B1" s="236"/>
      <c r="C1" s="236"/>
      <c r="D1" s="236"/>
      <c r="E1" s="236"/>
      <c r="F1" s="236"/>
      <c r="G1" s="236"/>
    </row>
    <row r="2" spans="1:7">
      <c r="A2" s="236"/>
      <c r="B2" s="236"/>
      <c r="C2" s="236"/>
      <c r="D2" s="236"/>
      <c r="E2" s="236"/>
      <c r="F2" s="236"/>
      <c r="G2" s="236"/>
    </row>
    <row r="4" spans="1:7">
      <c r="A4" s="12" t="s">
        <v>373</v>
      </c>
      <c r="B4" s="12" t="s">
        <v>372</v>
      </c>
      <c r="C4" s="100" t="s">
        <v>374</v>
      </c>
      <c r="D4" s="12" t="s">
        <v>371</v>
      </c>
      <c r="E4" s="100">
        <v>2010</v>
      </c>
      <c r="F4" s="100">
        <v>2011</v>
      </c>
      <c r="G4" s="100" t="s">
        <v>370</v>
      </c>
    </row>
    <row r="5" spans="1:7">
      <c r="A5" t="s">
        <v>237</v>
      </c>
      <c r="B5" t="s">
        <v>297</v>
      </c>
      <c r="C5" t="s">
        <v>377</v>
      </c>
      <c r="D5" t="s">
        <v>294</v>
      </c>
      <c r="E5">
        <v>228</v>
      </c>
      <c r="F5">
        <v>9</v>
      </c>
      <c r="G5">
        <f t="shared" ref="G5:G68" si="0">AVERAGE(E5:F5)</f>
        <v>118.5</v>
      </c>
    </row>
    <row r="6" spans="1:7">
      <c r="A6" t="s">
        <v>237</v>
      </c>
      <c r="B6" t="s">
        <v>293</v>
      </c>
      <c r="C6" t="s">
        <v>377</v>
      </c>
      <c r="D6" t="s">
        <v>294</v>
      </c>
      <c r="E6">
        <v>7</v>
      </c>
      <c r="F6">
        <v>209</v>
      </c>
      <c r="G6">
        <f t="shared" si="0"/>
        <v>108</v>
      </c>
    </row>
    <row r="7" spans="1:7">
      <c r="A7" t="s">
        <v>211</v>
      </c>
      <c r="B7" t="s">
        <v>290</v>
      </c>
      <c r="C7" t="s">
        <v>376</v>
      </c>
      <c r="D7" t="s">
        <v>294</v>
      </c>
      <c r="E7">
        <v>11</v>
      </c>
      <c r="F7">
        <v>13</v>
      </c>
      <c r="G7">
        <f t="shared" si="0"/>
        <v>12</v>
      </c>
    </row>
    <row r="8" spans="1:7">
      <c r="A8" t="s">
        <v>211</v>
      </c>
      <c r="B8" t="s">
        <v>299</v>
      </c>
      <c r="C8" t="s">
        <v>377</v>
      </c>
      <c r="D8" t="s">
        <v>294</v>
      </c>
      <c r="E8">
        <v>895</v>
      </c>
      <c r="F8">
        <v>1010</v>
      </c>
      <c r="G8">
        <f t="shared" si="0"/>
        <v>952.5</v>
      </c>
    </row>
    <row r="9" spans="1:7">
      <c r="A9" t="s">
        <v>211</v>
      </c>
      <c r="B9" t="s">
        <v>293</v>
      </c>
      <c r="C9" t="s">
        <v>377</v>
      </c>
      <c r="D9" t="s">
        <v>294</v>
      </c>
      <c r="E9">
        <v>719</v>
      </c>
      <c r="F9">
        <v>925</v>
      </c>
      <c r="G9">
        <f t="shared" si="0"/>
        <v>822</v>
      </c>
    </row>
    <row r="10" spans="1:7">
      <c r="A10" t="s">
        <v>233</v>
      </c>
      <c r="B10" t="s">
        <v>293</v>
      </c>
      <c r="C10" t="s">
        <v>377</v>
      </c>
      <c r="D10" t="s">
        <v>318</v>
      </c>
      <c r="E10">
        <v>120</v>
      </c>
      <c r="F10">
        <v>120</v>
      </c>
      <c r="G10">
        <f t="shared" si="0"/>
        <v>120</v>
      </c>
    </row>
    <row r="11" spans="1:7">
      <c r="A11" t="s">
        <v>233</v>
      </c>
      <c r="B11" t="s">
        <v>322</v>
      </c>
      <c r="C11" t="s">
        <v>377</v>
      </c>
      <c r="D11" t="s">
        <v>318</v>
      </c>
      <c r="E11">
        <v>240</v>
      </c>
      <c r="F11">
        <v>240</v>
      </c>
      <c r="G11">
        <f t="shared" si="0"/>
        <v>240</v>
      </c>
    </row>
    <row r="12" spans="1:7">
      <c r="A12" t="s">
        <v>159</v>
      </c>
      <c r="B12" t="s">
        <v>369</v>
      </c>
      <c r="C12" t="s">
        <v>376</v>
      </c>
      <c r="D12" t="s">
        <v>270</v>
      </c>
      <c r="E12">
        <v>104</v>
      </c>
      <c r="F12">
        <v>217</v>
      </c>
      <c r="G12">
        <f t="shared" si="0"/>
        <v>160.5</v>
      </c>
    </row>
    <row r="13" spans="1:7">
      <c r="A13" t="s">
        <v>159</v>
      </c>
      <c r="B13" t="s">
        <v>271</v>
      </c>
      <c r="C13" t="s">
        <v>376</v>
      </c>
      <c r="D13" t="s">
        <v>270</v>
      </c>
      <c r="E13">
        <v>72085</v>
      </c>
      <c r="F13">
        <v>82895</v>
      </c>
      <c r="G13">
        <f t="shared" si="0"/>
        <v>77490</v>
      </c>
    </row>
    <row r="14" spans="1:7">
      <c r="A14" t="s">
        <v>169</v>
      </c>
      <c r="B14" t="s">
        <v>333</v>
      </c>
      <c r="C14" t="s">
        <v>377</v>
      </c>
      <c r="D14" t="s">
        <v>300</v>
      </c>
      <c r="E14">
        <v>287</v>
      </c>
      <c r="F14">
        <v>347</v>
      </c>
      <c r="G14">
        <f t="shared" si="0"/>
        <v>317</v>
      </c>
    </row>
    <row r="15" spans="1:7">
      <c r="A15" t="s">
        <v>169</v>
      </c>
      <c r="B15" t="s">
        <v>305</v>
      </c>
      <c r="C15" t="s">
        <v>377</v>
      </c>
      <c r="D15" t="s">
        <v>339</v>
      </c>
      <c r="E15">
        <v>568</v>
      </c>
      <c r="F15">
        <v>451</v>
      </c>
      <c r="G15">
        <f t="shared" si="0"/>
        <v>509.5</v>
      </c>
    </row>
    <row r="16" spans="1:7">
      <c r="A16" t="s">
        <v>169</v>
      </c>
      <c r="B16" t="s">
        <v>261</v>
      </c>
      <c r="C16" t="s">
        <v>377</v>
      </c>
      <c r="D16" t="s">
        <v>262</v>
      </c>
      <c r="E16">
        <v>806</v>
      </c>
      <c r="F16">
        <v>539</v>
      </c>
      <c r="G16">
        <f t="shared" si="0"/>
        <v>672.5</v>
      </c>
    </row>
    <row r="17" spans="1:7">
      <c r="A17" t="s">
        <v>169</v>
      </c>
      <c r="B17" t="s">
        <v>333</v>
      </c>
      <c r="C17" t="s">
        <v>377</v>
      </c>
      <c r="D17" t="s">
        <v>262</v>
      </c>
      <c r="E17">
        <v>748</v>
      </c>
      <c r="F17">
        <v>655</v>
      </c>
      <c r="G17">
        <f t="shared" si="0"/>
        <v>701.5</v>
      </c>
    </row>
    <row r="18" spans="1:7">
      <c r="A18" t="s">
        <v>169</v>
      </c>
      <c r="B18" t="s">
        <v>261</v>
      </c>
      <c r="C18" t="s">
        <v>377</v>
      </c>
      <c r="D18" t="s">
        <v>339</v>
      </c>
      <c r="E18">
        <v>904</v>
      </c>
      <c r="F18">
        <v>1061</v>
      </c>
      <c r="G18">
        <f t="shared" si="0"/>
        <v>982.5</v>
      </c>
    </row>
    <row r="19" spans="1:7">
      <c r="A19" t="s">
        <v>169</v>
      </c>
      <c r="B19" t="s">
        <v>305</v>
      </c>
      <c r="C19" t="s">
        <v>377</v>
      </c>
      <c r="D19" t="s">
        <v>300</v>
      </c>
      <c r="E19">
        <v>1064</v>
      </c>
      <c r="F19">
        <v>1355</v>
      </c>
      <c r="G19">
        <f t="shared" si="0"/>
        <v>1209.5</v>
      </c>
    </row>
    <row r="20" spans="1:7">
      <c r="A20" t="s">
        <v>169</v>
      </c>
      <c r="B20" t="s">
        <v>305</v>
      </c>
      <c r="C20" t="s">
        <v>377</v>
      </c>
      <c r="D20" t="s">
        <v>262</v>
      </c>
      <c r="E20">
        <v>1713</v>
      </c>
      <c r="F20">
        <v>1786</v>
      </c>
      <c r="G20">
        <f t="shared" si="0"/>
        <v>1749.5</v>
      </c>
    </row>
    <row r="21" spans="1:7">
      <c r="A21" t="s">
        <v>169</v>
      </c>
      <c r="B21" t="s">
        <v>304</v>
      </c>
      <c r="C21" t="s">
        <v>377</v>
      </c>
      <c r="D21" t="s">
        <v>262</v>
      </c>
      <c r="E21">
        <v>1577</v>
      </c>
      <c r="F21">
        <v>2034</v>
      </c>
      <c r="G21">
        <f t="shared" si="0"/>
        <v>1805.5</v>
      </c>
    </row>
    <row r="22" spans="1:7">
      <c r="A22" t="s">
        <v>169</v>
      </c>
      <c r="B22" t="s">
        <v>307</v>
      </c>
      <c r="C22" t="s">
        <v>377</v>
      </c>
      <c r="D22" t="s">
        <v>262</v>
      </c>
      <c r="E22">
        <v>3707</v>
      </c>
      <c r="F22">
        <v>2268</v>
      </c>
      <c r="G22">
        <f t="shared" si="0"/>
        <v>2987.5</v>
      </c>
    </row>
    <row r="23" spans="1:7">
      <c r="A23" t="s">
        <v>169</v>
      </c>
      <c r="B23" t="s">
        <v>261</v>
      </c>
      <c r="C23" t="s">
        <v>377</v>
      </c>
      <c r="D23" t="s">
        <v>300</v>
      </c>
      <c r="E23">
        <v>5581</v>
      </c>
      <c r="F23">
        <v>5625</v>
      </c>
      <c r="G23">
        <f t="shared" si="0"/>
        <v>5603</v>
      </c>
    </row>
    <row r="24" spans="1:7">
      <c r="A24" t="s">
        <v>169</v>
      </c>
      <c r="B24" t="s">
        <v>304</v>
      </c>
      <c r="C24" t="s">
        <v>377</v>
      </c>
      <c r="D24" t="s">
        <v>300</v>
      </c>
      <c r="E24">
        <v>5021</v>
      </c>
      <c r="F24">
        <v>6776</v>
      </c>
      <c r="G24">
        <f t="shared" si="0"/>
        <v>5898.5</v>
      </c>
    </row>
    <row r="25" spans="1:7">
      <c r="A25" t="s">
        <v>201</v>
      </c>
      <c r="B25" t="s">
        <v>306</v>
      </c>
      <c r="C25" t="s">
        <v>377</v>
      </c>
      <c r="D25" t="s">
        <v>260</v>
      </c>
      <c r="E25">
        <v>4599</v>
      </c>
      <c r="F25">
        <v>2537</v>
      </c>
      <c r="G25">
        <f t="shared" si="0"/>
        <v>3568</v>
      </c>
    </row>
    <row r="26" spans="1:7">
      <c r="A26" t="s">
        <v>217</v>
      </c>
      <c r="B26" t="s">
        <v>290</v>
      </c>
      <c r="C26" t="s">
        <v>376</v>
      </c>
      <c r="D26" t="s">
        <v>289</v>
      </c>
      <c r="E26">
        <v>2078</v>
      </c>
      <c r="F26">
        <v>769</v>
      </c>
      <c r="G26">
        <f t="shared" si="0"/>
        <v>1423.5</v>
      </c>
    </row>
    <row r="27" spans="1:7">
      <c r="A27" t="s">
        <v>258</v>
      </c>
      <c r="B27" t="s">
        <v>261</v>
      </c>
      <c r="C27" t="s">
        <v>377</v>
      </c>
      <c r="D27" t="s">
        <v>266</v>
      </c>
      <c r="E27">
        <v>4</v>
      </c>
      <c r="F27">
        <v>0</v>
      </c>
      <c r="G27">
        <f t="shared" si="0"/>
        <v>2</v>
      </c>
    </row>
    <row r="28" spans="1:7">
      <c r="A28" t="s">
        <v>258</v>
      </c>
      <c r="B28" t="s">
        <v>263</v>
      </c>
      <c r="C28" t="s">
        <v>377</v>
      </c>
      <c r="D28" t="s">
        <v>269</v>
      </c>
      <c r="E28" t="s">
        <v>10</v>
      </c>
      <c r="F28">
        <v>1</v>
      </c>
      <c r="G28">
        <f t="shared" si="0"/>
        <v>1</v>
      </c>
    </row>
    <row r="29" spans="1:7">
      <c r="A29" t="s">
        <v>220</v>
      </c>
      <c r="B29" t="s">
        <v>261</v>
      </c>
      <c r="C29" t="s">
        <v>377</v>
      </c>
      <c r="D29" t="s">
        <v>324</v>
      </c>
      <c r="E29">
        <v>1000</v>
      </c>
      <c r="F29">
        <v>1200</v>
      </c>
      <c r="G29">
        <f t="shared" si="0"/>
        <v>1100</v>
      </c>
    </row>
    <row r="30" spans="1:7">
      <c r="A30" t="s">
        <v>164</v>
      </c>
      <c r="B30" t="s">
        <v>271</v>
      </c>
      <c r="C30" t="s">
        <v>376</v>
      </c>
      <c r="D30" t="s">
        <v>270</v>
      </c>
      <c r="E30" t="s">
        <v>268</v>
      </c>
      <c r="F30">
        <v>960</v>
      </c>
      <c r="G30">
        <f t="shared" si="0"/>
        <v>960</v>
      </c>
    </row>
    <row r="31" spans="1:7">
      <c r="A31" t="s">
        <v>164</v>
      </c>
      <c r="B31" t="s">
        <v>369</v>
      </c>
      <c r="C31" t="s">
        <v>376</v>
      </c>
      <c r="D31" t="s">
        <v>270</v>
      </c>
      <c r="E31" t="s">
        <v>268</v>
      </c>
      <c r="F31">
        <v>3170</v>
      </c>
      <c r="G31">
        <f t="shared" si="0"/>
        <v>3170</v>
      </c>
    </row>
    <row r="32" spans="1:7">
      <c r="A32" t="s">
        <v>164</v>
      </c>
      <c r="B32" t="s">
        <v>368</v>
      </c>
      <c r="C32" t="s">
        <v>377</v>
      </c>
      <c r="D32" t="s">
        <v>270</v>
      </c>
      <c r="E32" t="s">
        <v>268</v>
      </c>
      <c r="F32">
        <v>4102</v>
      </c>
      <c r="G32">
        <f t="shared" si="0"/>
        <v>4102</v>
      </c>
    </row>
    <row r="33" spans="1:7">
      <c r="A33" t="s">
        <v>164</v>
      </c>
      <c r="B33" t="s">
        <v>261</v>
      </c>
      <c r="C33" t="s">
        <v>377</v>
      </c>
      <c r="D33" t="s">
        <v>270</v>
      </c>
      <c r="E33">
        <v>12861</v>
      </c>
      <c r="F33">
        <v>4705</v>
      </c>
      <c r="G33">
        <f t="shared" si="0"/>
        <v>8783</v>
      </c>
    </row>
    <row r="34" spans="1:7">
      <c r="A34" t="s">
        <v>164</v>
      </c>
      <c r="B34" t="s">
        <v>283</v>
      </c>
      <c r="C34" t="s">
        <v>377</v>
      </c>
      <c r="D34" t="s">
        <v>270</v>
      </c>
      <c r="E34">
        <v>15276</v>
      </c>
      <c r="F34">
        <v>15368</v>
      </c>
      <c r="G34">
        <f t="shared" si="0"/>
        <v>15322</v>
      </c>
    </row>
    <row r="35" spans="1:7">
      <c r="A35" t="s">
        <v>164</v>
      </c>
      <c r="B35" t="s">
        <v>275</v>
      </c>
      <c r="C35" t="s">
        <v>377</v>
      </c>
      <c r="D35" t="s">
        <v>270</v>
      </c>
      <c r="E35">
        <v>10237</v>
      </c>
      <c r="F35">
        <v>10298</v>
      </c>
      <c r="G35">
        <f t="shared" si="0"/>
        <v>10267.5</v>
      </c>
    </row>
    <row r="36" spans="1:7">
      <c r="A36" t="s">
        <v>191</v>
      </c>
      <c r="B36" t="s">
        <v>263</v>
      </c>
      <c r="C36" t="s">
        <v>377</v>
      </c>
      <c r="D36" t="s">
        <v>262</v>
      </c>
      <c r="E36">
        <v>8000</v>
      </c>
      <c r="F36">
        <v>8000</v>
      </c>
      <c r="G36">
        <f t="shared" si="0"/>
        <v>8000</v>
      </c>
    </row>
    <row r="37" spans="1:7">
      <c r="A37" t="s">
        <v>179</v>
      </c>
      <c r="B37" t="s">
        <v>261</v>
      </c>
      <c r="C37" t="s">
        <v>377</v>
      </c>
      <c r="D37" t="s">
        <v>269</v>
      </c>
      <c r="E37">
        <v>345</v>
      </c>
      <c r="F37">
        <v>345</v>
      </c>
      <c r="G37">
        <f t="shared" si="0"/>
        <v>345</v>
      </c>
    </row>
    <row r="38" spans="1:7">
      <c r="A38" t="s">
        <v>179</v>
      </c>
      <c r="B38" t="s">
        <v>367</v>
      </c>
      <c r="C38" t="s">
        <v>377</v>
      </c>
      <c r="D38" t="s">
        <v>269</v>
      </c>
      <c r="E38">
        <v>11500</v>
      </c>
      <c r="F38">
        <v>11500</v>
      </c>
      <c r="G38">
        <f t="shared" si="0"/>
        <v>11500</v>
      </c>
    </row>
    <row r="39" spans="1:7">
      <c r="A39" t="s">
        <v>152</v>
      </c>
      <c r="B39" t="s">
        <v>291</v>
      </c>
      <c r="C39" t="s">
        <v>376</v>
      </c>
      <c r="D39" t="s">
        <v>272</v>
      </c>
      <c r="E39">
        <v>2264</v>
      </c>
      <c r="F39">
        <v>3914</v>
      </c>
      <c r="G39">
        <f t="shared" si="0"/>
        <v>3089</v>
      </c>
    </row>
    <row r="40" spans="1:7">
      <c r="A40" t="s">
        <v>152</v>
      </c>
      <c r="B40" t="s">
        <v>280</v>
      </c>
      <c r="C40" t="s">
        <v>376</v>
      </c>
      <c r="D40" t="s">
        <v>272</v>
      </c>
      <c r="E40">
        <v>162006</v>
      </c>
      <c r="F40">
        <v>146862</v>
      </c>
      <c r="G40">
        <f t="shared" si="0"/>
        <v>154434</v>
      </c>
    </row>
    <row r="41" spans="1:7">
      <c r="A41" t="s">
        <v>152</v>
      </c>
      <c r="B41" t="s">
        <v>263</v>
      </c>
      <c r="C41" t="s">
        <v>376</v>
      </c>
      <c r="D41" t="s">
        <v>278</v>
      </c>
      <c r="E41">
        <v>514</v>
      </c>
      <c r="F41">
        <v>486</v>
      </c>
      <c r="G41">
        <f t="shared" si="0"/>
        <v>500</v>
      </c>
    </row>
    <row r="42" spans="1:7">
      <c r="A42" t="s">
        <v>199</v>
      </c>
      <c r="B42" t="s">
        <v>366</v>
      </c>
      <c r="C42" t="s">
        <v>376</v>
      </c>
      <c r="D42" t="s">
        <v>334</v>
      </c>
      <c r="E42">
        <v>86</v>
      </c>
      <c r="F42">
        <v>41</v>
      </c>
      <c r="G42">
        <f t="shared" si="0"/>
        <v>63.5</v>
      </c>
    </row>
    <row r="43" spans="1:7">
      <c r="A43" t="s">
        <v>199</v>
      </c>
      <c r="B43" t="s">
        <v>365</v>
      </c>
      <c r="C43" t="s">
        <v>376</v>
      </c>
      <c r="D43" t="s">
        <v>334</v>
      </c>
      <c r="E43">
        <v>4795</v>
      </c>
      <c r="F43">
        <v>4503</v>
      </c>
      <c r="G43">
        <f t="shared" si="0"/>
        <v>4649</v>
      </c>
    </row>
    <row r="44" spans="1:7">
      <c r="A44" t="s">
        <v>148</v>
      </c>
      <c r="B44" t="s">
        <v>311</v>
      </c>
      <c r="C44" t="s">
        <v>377</v>
      </c>
      <c r="D44" t="s">
        <v>295</v>
      </c>
      <c r="E44">
        <v>290761</v>
      </c>
      <c r="F44">
        <v>290517</v>
      </c>
      <c r="G44">
        <f t="shared" si="0"/>
        <v>290639</v>
      </c>
    </row>
    <row r="45" spans="1:7">
      <c r="A45" t="s">
        <v>148</v>
      </c>
      <c r="B45" t="s">
        <v>346</v>
      </c>
      <c r="C45" t="s">
        <v>375</v>
      </c>
      <c r="D45" t="s">
        <v>295</v>
      </c>
      <c r="E45">
        <v>554752</v>
      </c>
      <c r="F45">
        <v>529569</v>
      </c>
      <c r="G45">
        <f t="shared" si="0"/>
        <v>542160.5</v>
      </c>
    </row>
    <row r="46" spans="1:7">
      <c r="A46" t="s">
        <v>148</v>
      </c>
      <c r="B46" t="s">
        <v>348</v>
      </c>
      <c r="C46" t="s">
        <v>377</v>
      </c>
      <c r="D46" t="s">
        <v>295</v>
      </c>
      <c r="E46">
        <v>107522</v>
      </c>
      <c r="F46">
        <v>125645</v>
      </c>
      <c r="G46">
        <f t="shared" si="0"/>
        <v>116583.5</v>
      </c>
    </row>
    <row r="47" spans="1:7">
      <c r="A47" t="s">
        <v>148</v>
      </c>
      <c r="B47" t="s">
        <v>263</v>
      </c>
      <c r="C47" s="108" t="s">
        <v>377</v>
      </c>
      <c r="D47" t="s">
        <v>295</v>
      </c>
      <c r="E47">
        <v>181597</v>
      </c>
      <c r="F47">
        <v>232841</v>
      </c>
      <c r="G47">
        <f t="shared" si="0"/>
        <v>207219</v>
      </c>
    </row>
    <row r="48" spans="1:7">
      <c r="A48" t="s">
        <v>364</v>
      </c>
      <c r="B48" t="s">
        <v>263</v>
      </c>
      <c r="C48" s="108" t="s">
        <v>377</v>
      </c>
      <c r="D48" t="s">
        <v>295</v>
      </c>
      <c r="E48">
        <v>4950</v>
      </c>
      <c r="F48">
        <v>5030</v>
      </c>
      <c r="G48">
        <f t="shared" si="0"/>
        <v>4990</v>
      </c>
    </row>
    <row r="49" spans="1:7">
      <c r="A49" t="s">
        <v>363</v>
      </c>
      <c r="B49" t="s">
        <v>263</v>
      </c>
      <c r="C49" s="108" t="s">
        <v>377</v>
      </c>
      <c r="D49" t="s">
        <v>295</v>
      </c>
      <c r="E49">
        <v>230</v>
      </c>
      <c r="F49">
        <v>230</v>
      </c>
      <c r="G49">
        <f t="shared" si="0"/>
        <v>230</v>
      </c>
    </row>
    <row r="50" spans="1:7">
      <c r="A50" t="s">
        <v>360</v>
      </c>
      <c r="B50" t="s">
        <v>261</v>
      </c>
      <c r="C50" t="s">
        <v>377</v>
      </c>
      <c r="D50" t="s">
        <v>266</v>
      </c>
      <c r="E50" t="s">
        <v>268</v>
      </c>
      <c r="F50">
        <v>115</v>
      </c>
      <c r="G50">
        <f t="shared" si="0"/>
        <v>115</v>
      </c>
    </row>
    <row r="51" spans="1:7">
      <c r="A51" t="s">
        <v>360</v>
      </c>
      <c r="B51" t="s">
        <v>361</v>
      </c>
      <c r="C51" t="s">
        <v>377</v>
      </c>
      <c r="D51" t="s">
        <v>334</v>
      </c>
      <c r="E51">
        <v>1590</v>
      </c>
      <c r="F51">
        <v>772</v>
      </c>
      <c r="G51">
        <f t="shared" si="0"/>
        <v>1181</v>
      </c>
    </row>
    <row r="52" spans="1:7">
      <c r="A52" t="s">
        <v>360</v>
      </c>
      <c r="B52" t="s">
        <v>362</v>
      </c>
      <c r="C52" t="s">
        <v>377</v>
      </c>
      <c r="D52" t="s">
        <v>334</v>
      </c>
      <c r="E52">
        <v>94</v>
      </c>
      <c r="F52">
        <v>31</v>
      </c>
      <c r="G52">
        <f t="shared" si="0"/>
        <v>62.5</v>
      </c>
    </row>
    <row r="53" spans="1:7">
      <c r="A53" t="s">
        <v>360</v>
      </c>
      <c r="B53" t="s">
        <v>356</v>
      </c>
      <c r="C53" t="s">
        <v>377</v>
      </c>
      <c r="D53" t="s">
        <v>334</v>
      </c>
      <c r="E53">
        <v>810</v>
      </c>
      <c r="F53">
        <v>587</v>
      </c>
      <c r="G53">
        <f t="shared" si="0"/>
        <v>698.5</v>
      </c>
    </row>
    <row r="54" spans="1:7">
      <c r="A54" t="s">
        <v>359</v>
      </c>
      <c r="B54" t="s">
        <v>261</v>
      </c>
      <c r="C54" t="s">
        <v>377</v>
      </c>
      <c r="D54" t="s">
        <v>269</v>
      </c>
      <c r="E54">
        <v>1682</v>
      </c>
      <c r="F54">
        <v>502</v>
      </c>
      <c r="G54">
        <f t="shared" si="0"/>
        <v>1092</v>
      </c>
    </row>
    <row r="55" spans="1:7">
      <c r="A55" t="s">
        <v>209</v>
      </c>
      <c r="B55" t="s">
        <v>342</v>
      </c>
      <c r="C55" t="s">
        <v>377</v>
      </c>
      <c r="D55" t="s">
        <v>285</v>
      </c>
      <c r="E55">
        <v>5</v>
      </c>
      <c r="F55">
        <v>5</v>
      </c>
      <c r="G55">
        <f t="shared" si="0"/>
        <v>5</v>
      </c>
    </row>
    <row r="56" spans="1:7">
      <c r="A56" t="s">
        <v>209</v>
      </c>
      <c r="B56" t="s">
        <v>336</v>
      </c>
      <c r="C56" t="s">
        <v>377</v>
      </c>
      <c r="D56" t="s">
        <v>285</v>
      </c>
      <c r="E56">
        <v>100</v>
      </c>
      <c r="F56">
        <v>100</v>
      </c>
      <c r="G56">
        <f t="shared" si="0"/>
        <v>100</v>
      </c>
    </row>
    <row r="57" spans="1:7">
      <c r="A57" t="s">
        <v>209</v>
      </c>
      <c r="B57" t="s">
        <v>261</v>
      </c>
      <c r="C57" t="s">
        <v>377</v>
      </c>
      <c r="D57" t="s">
        <v>266</v>
      </c>
      <c r="E57">
        <v>215</v>
      </c>
      <c r="F57">
        <v>215</v>
      </c>
      <c r="G57">
        <f t="shared" si="0"/>
        <v>215</v>
      </c>
    </row>
    <row r="58" spans="1:7">
      <c r="A58" t="s">
        <v>209</v>
      </c>
      <c r="B58" t="s">
        <v>261</v>
      </c>
      <c r="C58" t="s">
        <v>377</v>
      </c>
      <c r="D58" t="s">
        <v>285</v>
      </c>
      <c r="E58">
        <v>350</v>
      </c>
      <c r="F58">
        <v>350</v>
      </c>
      <c r="G58">
        <f t="shared" si="0"/>
        <v>350</v>
      </c>
    </row>
    <row r="59" spans="1:7">
      <c r="A59" t="s">
        <v>209</v>
      </c>
      <c r="B59" t="s">
        <v>335</v>
      </c>
      <c r="C59" t="s">
        <v>377</v>
      </c>
      <c r="D59" t="s">
        <v>285</v>
      </c>
      <c r="E59">
        <v>500</v>
      </c>
      <c r="F59">
        <v>500</v>
      </c>
      <c r="G59">
        <f t="shared" si="0"/>
        <v>500</v>
      </c>
    </row>
    <row r="60" spans="1:7">
      <c r="A60" t="s">
        <v>209</v>
      </c>
      <c r="B60" t="s">
        <v>263</v>
      </c>
      <c r="C60" s="108" t="s">
        <v>377</v>
      </c>
      <c r="D60" t="s">
        <v>285</v>
      </c>
      <c r="E60">
        <v>750</v>
      </c>
      <c r="F60">
        <v>750</v>
      </c>
      <c r="G60">
        <f t="shared" si="0"/>
        <v>750</v>
      </c>
    </row>
    <row r="61" spans="1:7">
      <c r="A61" t="s">
        <v>241</v>
      </c>
      <c r="B61" t="s">
        <v>293</v>
      </c>
      <c r="C61" t="s">
        <v>377</v>
      </c>
      <c r="D61" t="s">
        <v>294</v>
      </c>
      <c r="E61">
        <v>175</v>
      </c>
      <c r="F61">
        <v>152</v>
      </c>
      <c r="G61">
        <f t="shared" si="0"/>
        <v>163.5</v>
      </c>
    </row>
    <row r="62" spans="1:7">
      <c r="A62" t="s">
        <v>358</v>
      </c>
      <c r="B62" t="s">
        <v>261</v>
      </c>
      <c r="C62" t="s">
        <v>377</v>
      </c>
      <c r="D62" t="s">
        <v>269</v>
      </c>
      <c r="E62">
        <v>133</v>
      </c>
      <c r="F62">
        <v>178</v>
      </c>
      <c r="G62">
        <f t="shared" si="0"/>
        <v>155.5</v>
      </c>
    </row>
    <row r="63" spans="1:7">
      <c r="A63" t="s">
        <v>231</v>
      </c>
      <c r="B63" t="s">
        <v>281</v>
      </c>
      <c r="C63" t="s">
        <v>377</v>
      </c>
      <c r="D63" t="s">
        <v>266</v>
      </c>
      <c r="E63">
        <v>738</v>
      </c>
      <c r="F63">
        <v>491</v>
      </c>
      <c r="G63">
        <f t="shared" si="0"/>
        <v>614.5</v>
      </c>
    </row>
    <row r="64" spans="1:7">
      <c r="A64" t="s">
        <v>357</v>
      </c>
      <c r="B64" t="s">
        <v>261</v>
      </c>
      <c r="C64" t="s">
        <v>377</v>
      </c>
      <c r="D64" t="s">
        <v>294</v>
      </c>
      <c r="E64">
        <v>2</v>
      </c>
      <c r="F64">
        <v>5</v>
      </c>
      <c r="G64">
        <f t="shared" si="0"/>
        <v>3.5</v>
      </c>
    </row>
    <row r="65" spans="1:7">
      <c r="A65" t="s">
        <v>184</v>
      </c>
      <c r="B65" t="s">
        <v>292</v>
      </c>
      <c r="C65" t="s">
        <v>376</v>
      </c>
      <c r="D65" t="s">
        <v>289</v>
      </c>
      <c r="E65">
        <v>58</v>
      </c>
      <c r="F65">
        <v>35</v>
      </c>
      <c r="G65">
        <f t="shared" si="0"/>
        <v>46.5</v>
      </c>
    </row>
    <row r="66" spans="1:7">
      <c r="A66" t="s">
        <v>184</v>
      </c>
      <c r="B66" t="s">
        <v>280</v>
      </c>
      <c r="C66" t="s">
        <v>376</v>
      </c>
      <c r="D66" t="s">
        <v>289</v>
      </c>
      <c r="E66">
        <v>1779</v>
      </c>
      <c r="F66">
        <v>1668</v>
      </c>
      <c r="G66">
        <f t="shared" si="0"/>
        <v>1723.5</v>
      </c>
    </row>
    <row r="67" spans="1:7">
      <c r="A67" t="s">
        <v>184</v>
      </c>
      <c r="B67" t="s">
        <v>290</v>
      </c>
      <c r="C67" t="s">
        <v>376</v>
      </c>
      <c r="D67" t="s">
        <v>289</v>
      </c>
      <c r="E67">
        <v>3140</v>
      </c>
      <c r="F67">
        <v>3010</v>
      </c>
      <c r="G67">
        <f t="shared" si="0"/>
        <v>3075</v>
      </c>
    </row>
    <row r="68" spans="1:7">
      <c r="A68" t="s">
        <v>184</v>
      </c>
      <c r="B68" t="s">
        <v>280</v>
      </c>
      <c r="C68" t="s">
        <v>376</v>
      </c>
      <c r="D68" t="s">
        <v>272</v>
      </c>
      <c r="E68">
        <v>5130</v>
      </c>
      <c r="F68">
        <v>5146</v>
      </c>
      <c r="G68">
        <f t="shared" si="0"/>
        <v>5138</v>
      </c>
    </row>
    <row r="69" spans="1:7">
      <c r="A69" t="s">
        <v>246</v>
      </c>
      <c r="B69" t="s">
        <v>261</v>
      </c>
      <c r="C69" t="s">
        <v>377</v>
      </c>
      <c r="D69" t="s">
        <v>266</v>
      </c>
      <c r="E69">
        <v>126</v>
      </c>
      <c r="F69">
        <v>37</v>
      </c>
      <c r="G69">
        <f t="shared" ref="G69:G132" si="1">AVERAGE(E69:F69)</f>
        <v>81.5</v>
      </c>
    </row>
    <row r="70" spans="1:7">
      <c r="A70" t="s">
        <v>355</v>
      </c>
      <c r="B70" t="s">
        <v>341</v>
      </c>
      <c r="C70" t="s">
        <v>377</v>
      </c>
      <c r="D70" t="s">
        <v>334</v>
      </c>
      <c r="E70" t="s">
        <v>268</v>
      </c>
      <c r="F70">
        <v>383</v>
      </c>
      <c r="G70">
        <f t="shared" si="1"/>
        <v>383</v>
      </c>
    </row>
    <row r="71" spans="1:7">
      <c r="A71" t="s">
        <v>355</v>
      </c>
      <c r="B71" t="s">
        <v>335</v>
      </c>
      <c r="C71" t="s">
        <v>377</v>
      </c>
      <c r="D71" t="s">
        <v>334</v>
      </c>
      <c r="E71" t="s">
        <v>268</v>
      </c>
      <c r="F71">
        <v>383</v>
      </c>
      <c r="G71">
        <f t="shared" si="1"/>
        <v>383</v>
      </c>
    </row>
    <row r="72" spans="1:7">
      <c r="A72" t="s">
        <v>355</v>
      </c>
      <c r="B72" t="s">
        <v>261</v>
      </c>
      <c r="C72" t="s">
        <v>377</v>
      </c>
      <c r="D72" t="s">
        <v>334</v>
      </c>
      <c r="E72">
        <v>198</v>
      </c>
      <c r="F72" t="s">
        <v>10</v>
      </c>
      <c r="G72">
        <f t="shared" si="1"/>
        <v>198</v>
      </c>
    </row>
    <row r="73" spans="1:7">
      <c r="A73" t="s">
        <v>355</v>
      </c>
      <c r="B73" t="s">
        <v>343</v>
      </c>
      <c r="C73" t="s">
        <v>377</v>
      </c>
      <c r="D73" t="s">
        <v>334</v>
      </c>
      <c r="E73" t="s">
        <v>268</v>
      </c>
      <c r="F73">
        <v>256</v>
      </c>
      <c r="G73">
        <f t="shared" si="1"/>
        <v>256</v>
      </c>
    </row>
    <row r="74" spans="1:7">
      <c r="A74" t="s">
        <v>355</v>
      </c>
      <c r="B74" t="s">
        <v>342</v>
      </c>
      <c r="C74" t="s">
        <v>377</v>
      </c>
      <c r="D74" t="s">
        <v>334</v>
      </c>
      <c r="E74">
        <v>360</v>
      </c>
      <c r="F74">
        <v>1022</v>
      </c>
      <c r="G74">
        <f t="shared" si="1"/>
        <v>691</v>
      </c>
    </row>
    <row r="75" spans="1:7">
      <c r="A75" t="s">
        <v>355</v>
      </c>
      <c r="B75" t="s">
        <v>354</v>
      </c>
      <c r="C75" t="s">
        <v>377</v>
      </c>
      <c r="D75" t="s">
        <v>334</v>
      </c>
      <c r="E75">
        <v>7064</v>
      </c>
      <c r="F75">
        <v>3960</v>
      </c>
      <c r="G75">
        <f t="shared" si="1"/>
        <v>5512</v>
      </c>
    </row>
    <row r="76" spans="1:7">
      <c r="A76" t="s">
        <v>355</v>
      </c>
      <c r="B76" t="s">
        <v>356</v>
      </c>
      <c r="C76" t="s">
        <v>377</v>
      </c>
      <c r="D76" t="s">
        <v>334</v>
      </c>
      <c r="E76">
        <v>42</v>
      </c>
      <c r="F76">
        <v>511</v>
      </c>
      <c r="G76">
        <f t="shared" si="1"/>
        <v>276.5</v>
      </c>
    </row>
    <row r="77" spans="1:7">
      <c r="A77" t="s">
        <v>181</v>
      </c>
      <c r="B77" t="s">
        <v>263</v>
      </c>
      <c r="C77" s="108" t="s">
        <v>377</v>
      </c>
      <c r="D77" t="s">
        <v>260</v>
      </c>
      <c r="E77">
        <v>683</v>
      </c>
      <c r="F77">
        <v>656</v>
      </c>
      <c r="G77">
        <f t="shared" si="1"/>
        <v>669.5</v>
      </c>
    </row>
    <row r="78" spans="1:7">
      <c r="A78" t="s">
        <v>181</v>
      </c>
      <c r="B78" t="s">
        <v>263</v>
      </c>
      <c r="C78" s="108" t="s">
        <v>377</v>
      </c>
      <c r="D78" t="s">
        <v>294</v>
      </c>
      <c r="E78">
        <v>10563</v>
      </c>
      <c r="F78">
        <v>10799</v>
      </c>
      <c r="G78">
        <f t="shared" si="1"/>
        <v>10681</v>
      </c>
    </row>
    <row r="79" spans="1:7">
      <c r="A79" t="s">
        <v>230</v>
      </c>
      <c r="B79" t="s">
        <v>335</v>
      </c>
      <c r="C79" t="s">
        <v>377</v>
      </c>
      <c r="D79" t="s">
        <v>285</v>
      </c>
      <c r="E79">
        <v>11</v>
      </c>
      <c r="F79">
        <v>3</v>
      </c>
      <c r="G79">
        <f t="shared" si="1"/>
        <v>7</v>
      </c>
    </row>
    <row r="80" spans="1:7">
      <c r="A80" t="s">
        <v>230</v>
      </c>
      <c r="B80" t="s">
        <v>343</v>
      </c>
      <c r="C80" t="s">
        <v>377</v>
      </c>
      <c r="D80" t="s">
        <v>285</v>
      </c>
      <c r="E80">
        <v>216</v>
      </c>
      <c r="F80">
        <v>69</v>
      </c>
      <c r="G80">
        <f t="shared" si="1"/>
        <v>142.5</v>
      </c>
    </row>
    <row r="81" spans="1:7">
      <c r="A81" t="s">
        <v>230</v>
      </c>
      <c r="B81" t="s">
        <v>336</v>
      </c>
      <c r="C81" t="s">
        <v>377</v>
      </c>
      <c r="D81" t="s">
        <v>285</v>
      </c>
      <c r="E81">
        <v>858</v>
      </c>
      <c r="F81">
        <v>281</v>
      </c>
      <c r="G81">
        <f t="shared" si="1"/>
        <v>569.5</v>
      </c>
    </row>
    <row r="82" spans="1:7">
      <c r="A82" t="s">
        <v>238</v>
      </c>
      <c r="B82" t="s">
        <v>261</v>
      </c>
      <c r="C82" t="s">
        <v>377</v>
      </c>
      <c r="D82" t="s">
        <v>260</v>
      </c>
      <c r="E82">
        <v>323</v>
      </c>
      <c r="F82">
        <v>119</v>
      </c>
      <c r="G82">
        <f t="shared" si="1"/>
        <v>221</v>
      </c>
    </row>
    <row r="83" spans="1:7">
      <c r="A83" t="s">
        <v>183</v>
      </c>
      <c r="B83" t="s">
        <v>351</v>
      </c>
      <c r="C83" t="s">
        <v>376</v>
      </c>
      <c r="D83" t="s">
        <v>272</v>
      </c>
      <c r="E83" t="s">
        <v>10</v>
      </c>
      <c r="F83">
        <v>858</v>
      </c>
      <c r="G83">
        <f t="shared" si="1"/>
        <v>858</v>
      </c>
    </row>
    <row r="84" spans="1:7">
      <c r="A84" t="s">
        <v>183</v>
      </c>
      <c r="B84" t="s">
        <v>280</v>
      </c>
      <c r="C84" t="s">
        <v>376</v>
      </c>
      <c r="D84" t="s">
        <v>272</v>
      </c>
      <c r="E84">
        <v>2131</v>
      </c>
      <c r="F84">
        <v>4601</v>
      </c>
      <c r="G84">
        <f t="shared" si="1"/>
        <v>3366</v>
      </c>
    </row>
    <row r="85" spans="1:7">
      <c r="A85" t="s">
        <v>183</v>
      </c>
      <c r="B85" t="s">
        <v>280</v>
      </c>
      <c r="C85" t="s">
        <v>376</v>
      </c>
      <c r="D85" t="s">
        <v>289</v>
      </c>
      <c r="E85">
        <v>6906</v>
      </c>
      <c r="F85">
        <v>5318</v>
      </c>
      <c r="G85">
        <f t="shared" si="1"/>
        <v>6112</v>
      </c>
    </row>
    <row r="86" spans="1:7">
      <c r="A86" t="s">
        <v>196</v>
      </c>
      <c r="B86" t="s">
        <v>280</v>
      </c>
      <c r="C86" t="s">
        <v>376</v>
      </c>
      <c r="D86" t="s">
        <v>272</v>
      </c>
      <c r="E86">
        <v>2998</v>
      </c>
      <c r="F86">
        <v>1447</v>
      </c>
      <c r="G86">
        <f t="shared" si="1"/>
        <v>2222.5</v>
      </c>
    </row>
    <row r="87" spans="1:7">
      <c r="A87" t="s">
        <v>196</v>
      </c>
      <c r="B87" t="s">
        <v>280</v>
      </c>
      <c r="C87" t="s">
        <v>376</v>
      </c>
      <c r="D87" t="s">
        <v>289</v>
      </c>
      <c r="E87">
        <v>2826</v>
      </c>
      <c r="F87">
        <v>4432</v>
      </c>
      <c r="G87">
        <f t="shared" si="1"/>
        <v>3629</v>
      </c>
    </row>
    <row r="88" spans="1:7">
      <c r="A88" t="s">
        <v>228</v>
      </c>
      <c r="B88" t="s">
        <v>349</v>
      </c>
      <c r="C88" t="s">
        <v>377</v>
      </c>
      <c r="D88" t="s">
        <v>294</v>
      </c>
      <c r="E88" t="s">
        <v>10</v>
      </c>
      <c r="F88">
        <v>3</v>
      </c>
      <c r="G88">
        <f t="shared" si="1"/>
        <v>3</v>
      </c>
    </row>
    <row r="89" spans="1:7">
      <c r="A89" t="s">
        <v>228</v>
      </c>
      <c r="B89" t="s">
        <v>297</v>
      </c>
      <c r="C89" t="s">
        <v>377</v>
      </c>
      <c r="D89" t="s">
        <v>294</v>
      </c>
      <c r="E89">
        <v>3</v>
      </c>
      <c r="F89">
        <v>1</v>
      </c>
      <c r="G89">
        <f t="shared" si="1"/>
        <v>2</v>
      </c>
    </row>
    <row r="90" spans="1:7">
      <c r="A90" t="s">
        <v>228</v>
      </c>
      <c r="B90" t="s">
        <v>293</v>
      </c>
      <c r="C90" t="s">
        <v>377</v>
      </c>
      <c r="D90" t="s">
        <v>294</v>
      </c>
      <c r="E90">
        <v>5</v>
      </c>
      <c r="F90">
        <v>6</v>
      </c>
      <c r="G90">
        <f t="shared" si="1"/>
        <v>5.5</v>
      </c>
    </row>
    <row r="91" spans="1:7">
      <c r="A91" t="s">
        <v>228</v>
      </c>
      <c r="B91" t="s">
        <v>293</v>
      </c>
      <c r="C91" t="s">
        <v>377</v>
      </c>
      <c r="D91" t="s">
        <v>289</v>
      </c>
      <c r="E91">
        <v>25</v>
      </c>
      <c r="F91">
        <v>25</v>
      </c>
      <c r="G91">
        <f t="shared" si="1"/>
        <v>25</v>
      </c>
    </row>
    <row r="92" spans="1:7">
      <c r="A92" t="s">
        <v>228</v>
      </c>
      <c r="B92" t="s">
        <v>292</v>
      </c>
      <c r="C92" t="s">
        <v>376</v>
      </c>
      <c r="D92" t="s">
        <v>294</v>
      </c>
      <c r="E92">
        <v>4</v>
      </c>
      <c r="F92">
        <v>4</v>
      </c>
      <c r="G92">
        <f t="shared" si="1"/>
        <v>4</v>
      </c>
    </row>
    <row r="93" spans="1:7">
      <c r="A93" t="s">
        <v>228</v>
      </c>
      <c r="B93" t="s">
        <v>290</v>
      </c>
      <c r="C93" t="s">
        <v>376</v>
      </c>
      <c r="D93" t="s">
        <v>294</v>
      </c>
      <c r="E93">
        <v>6</v>
      </c>
      <c r="F93">
        <v>3</v>
      </c>
      <c r="G93">
        <f t="shared" si="1"/>
        <v>4.5</v>
      </c>
    </row>
    <row r="94" spans="1:7">
      <c r="A94" t="s">
        <v>228</v>
      </c>
      <c r="B94" t="s">
        <v>292</v>
      </c>
      <c r="C94" t="s">
        <v>376</v>
      </c>
      <c r="D94" t="s">
        <v>289</v>
      </c>
      <c r="E94">
        <v>245</v>
      </c>
      <c r="F94">
        <v>246</v>
      </c>
      <c r="G94">
        <f t="shared" si="1"/>
        <v>245.5</v>
      </c>
    </row>
    <row r="95" spans="1:7">
      <c r="A95" t="s">
        <v>228</v>
      </c>
      <c r="B95" t="s">
        <v>290</v>
      </c>
      <c r="C95" t="s">
        <v>376</v>
      </c>
      <c r="D95" t="s">
        <v>289</v>
      </c>
      <c r="E95">
        <v>445</v>
      </c>
      <c r="F95">
        <v>268</v>
      </c>
      <c r="G95">
        <f t="shared" si="1"/>
        <v>356.5</v>
      </c>
    </row>
    <row r="96" spans="1:7">
      <c r="A96" t="s">
        <v>228</v>
      </c>
      <c r="B96" t="s">
        <v>353</v>
      </c>
      <c r="C96" t="s">
        <v>376</v>
      </c>
      <c r="D96" t="s">
        <v>289</v>
      </c>
      <c r="E96">
        <v>3</v>
      </c>
      <c r="F96">
        <v>3</v>
      </c>
      <c r="G96">
        <f t="shared" si="1"/>
        <v>3</v>
      </c>
    </row>
    <row r="97" spans="1:7">
      <c r="A97" t="s">
        <v>228</v>
      </c>
      <c r="B97" t="s">
        <v>310</v>
      </c>
      <c r="C97" t="s">
        <v>377</v>
      </c>
      <c r="D97" t="s">
        <v>294</v>
      </c>
      <c r="E97">
        <v>1</v>
      </c>
      <c r="F97">
        <v>0</v>
      </c>
      <c r="G97">
        <f t="shared" si="1"/>
        <v>0.5</v>
      </c>
    </row>
    <row r="98" spans="1:7">
      <c r="A98" t="s">
        <v>228</v>
      </c>
      <c r="B98" t="s">
        <v>263</v>
      </c>
      <c r="C98" s="108" t="s">
        <v>377</v>
      </c>
      <c r="D98" t="s">
        <v>294</v>
      </c>
      <c r="E98">
        <v>1</v>
      </c>
      <c r="F98">
        <v>2</v>
      </c>
      <c r="G98">
        <f t="shared" si="1"/>
        <v>1.5</v>
      </c>
    </row>
    <row r="99" spans="1:7">
      <c r="A99" t="s">
        <v>228</v>
      </c>
      <c r="B99" t="s">
        <v>263</v>
      </c>
      <c r="C99" s="108" t="s">
        <v>376</v>
      </c>
      <c r="D99" t="s">
        <v>289</v>
      </c>
      <c r="E99">
        <v>100</v>
      </c>
      <c r="F99">
        <v>223</v>
      </c>
      <c r="G99">
        <f t="shared" si="1"/>
        <v>161.5</v>
      </c>
    </row>
    <row r="100" spans="1:7">
      <c r="A100" t="s">
        <v>352</v>
      </c>
      <c r="B100" t="s">
        <v>283</v>
      </c>
      <c r="C100" t="s">
        <v>377</v>
      </c>
      <c r="D100" t="s">
        <v>266</v>
      </c>
      <c r="E100">
        <v>26</v>
      </c>
      <c r="F100">
        <v>0</v>
      </c>
      <c r="G100">
        <f t="shared" si="1"/>
        <v>13</v>
      </c>
    </row>
    <row r="101" spans="1:7">
      <c r="A101" t="s">
        <v>352</v>
      </c>
      <c r="B101" t="s">
        <v>314</v>
      </c>
      <c r="C101" t="s">
        <v>377</v>
      </c>
      <c r="D101" t="s">
        <v>266</v>
      </c>
      <c r="E101" t="s">
        <v>268</v>
      </c>
      <c r="F101">
        <v>99</v>
      </c>
      <c r="G101">
        <f t="shared" si="1"/>
        <v>99</v>
      </c>
    </row>
    <row r="102" spans="1:7">
      <c r="A102" t="s">
        <v>352</v>
      </c>
      <c r="B102" t="s">
        <v>261</v>
      </c>
      <c r="C102" t="s">
        <v>377</v>
      </c>
      <c r="D102" t="s">
        <v>266</v>
      </c>
      <c r="E102">
        <v>944</v>
      </c>
      <c r="F102">
        <v>873</v>
      </c>
      <c r="G102">
        <f t="shared" si="1"/>
        <v>908.5</v>
      </c>
    </row>
    <row r="103" spans="1:7">
      <c r="A103" t="s">
        <v>352</v>
      </c>
      <c r="B103" t="s">
        <v>275</v>
      </c>
      <c r="C103" t="s">
        <v>377</v>
      </c>
      <c r="D103" t="s">
        <v>266</v>
      </c>
      <c r="E103" t="s">
        <v>268</v>
      </c>
      <c r="F103">
        <v>85</v>
      </c>
      <c r="G103">
        <f t="shared" si="1"/>
        <v>85</v>
      </c>
    </row>
    <row r="104" spans="1:7">
      <c r="A104" t="s">
        <v>247</v>
      </c>
      <c r="B104" t="s">
        <v>293</v>
      </c>
      <c r="C104" t="s">
        <v>377</v>
      </c>
      <c r="D104" t="s">
        <v>269</v>
      </c>
      <c r="E104">
        <v>1</v>
      </c>
      <c r="F104">
        <v>1</v>
      </c>
      <c r="G104">
        <f t="shared" si="1"/>
        <v>1</v>
      </c>
    </row>
    <row r="105" spans="1:7">
      <c r="A105" t="s">
        <v>247</v>
      </c>
      <c r="B105" t="s">
        <v>316</v>
      </c>
      <c r="C105" t="s">
        <v>377</v>
      </c>
      <c r="D105" t="s">
        <v>269</v>
      </c>
      <c r="E105">
        <v>1</v>
      </c>
      <c r="F105">
        <v>1</v>
      </c>
      <c r="G105">
        <f t="shared" si="1"/>
        <v>1</v>
      </c>
    </row>
    <row r="106" spans="1:7">
      <c r="A106" t="s">
        <v>247</v>
      </c>
      <c r="B106" t="s">
        <v>261</v>
      </c>
      <c r="C106" t="s">
        <v>377</v>
      </c>
      <c r="D106" t="s">
        <v>269</v>
      </c>
      <c r="E106">
        <v>70</v>
      </c>
      <c r="F106">
        <v>70</v>
      </c>
      <c r="G106">
        <f t="shared" si="1"/>
        <v>70</v>
      </c>
    </row>
    <row r="107" spans="1:7">
      <c r="A107" t="s">
        <v>247</v>
      </c>
      <c r="B107" t="s">
        <v>317</v>
      </c>
      <c r="C107" t="s">
        <v>377</v>
      </c>
      <c r="D107" t="s">
        <v>269</v>
      </c>
      <c r="E107">
        <v>5</v>
      </c>
      <c r="F107">
        <v>5</v>
      </c>
      <c r="G107">
        <f t="shared" si="1"/>
        <v>5</v>
      </c>
    </row>
    <row r="108" spans="1:7">
      <c r="A108" t="s">
        <v>212</v>
      </c>
      <c r="B108" t="s">
        <v>316</v>
      </c>
      <c r="C108" t="s">
        <v>377</v>
      </c>
      <c r="D108" t="s">
        <v>269</v>
      </c>
      <c r="E108">
        <v>1749</v>
      </c>
      <c r="F108">
        <v>1700</v>
      </c>
      <c r="G108">
        <f t="shared" si="1"/>
        <v>1724.5</v>
      </c>
    </row>
    <row r="109" spans="1:7">
      <c r="A109" t="s">
        <v>176</v>
      </c>
      <c r="B109" t="s">
        <v>280</v>
      </c>
      <c r="C109" t="s">
        <v>376</v>
      </c>
      <c r="D109" t="s">
        <v>272</v>
      </c>
      <c r="E109" t="s">
        <v>10</v>
      </c>
      <c r="F109">
        <v>302</v>
      </c>
      <c r="G109">
        <f t="shared" si="1"/>
        <v>302</v>
      </c>
    </row>
    <row r="110" spans="1:7">
      <c r="A110" t="s">
        <v>176</v>
      </c>
      <c r="B110" t="s">
        <v>290</v>
      </c>
      <c r="C110" t="s">
        <v>376</v>
      </c>
      <c r="D110" t="s">
        <v>289</v>
      </c>
      <c r="E110">
        <v>18380</v>
      </c>
      <c r="F110">
        <v>17036</v>
      </c>
      <c r="G110">
        <f t="shared" si="1"/>
        <v>17708</v>
      </c>
    </row>
    <row r="111" spans="1:7">
      <c r="A111" t="s">
        <v>218</v>
      </c>
      <c r="B111" t="s">
        <v>263</v>
      </c>
      <c r="C111" s="108" t="s">
        <v>377</v>
      </c>
      <c r="D111" t="s">
        <v>269</v>
      </c>
      <c r="E111">
        <v>1323</v>
      </c>
      <c r="F111">
        <v>889</v>
      </c>
      <c r="G111">
        <f t="shared" si="1"/>
        <v>1106</v>
      </c>
    </row>
    <row r="112" spans="1:7">
      <c r="A112" t="s">
        <v>204</v>
      </c>
      <c r="B112" t="s">
        <v>297</v>
      </c>
      <c r="C112" t="s">
        <v>377</v>
      </c>
      <c r="D112" t="s">
        <v>294</v>
      </c>
      <c r="E112">
        <v>1918</v>
      </c>
      <c r="F112">
        <v>1918</v>
      </c>
      <c r="G112">
        <f t="shared" si="1"/>
        <v>1918</v>
      </c>
    </row>
    <row r="113" spans="1:7">
      <c r="A113" t="s">
        <v>204</v>
      </c>
      <c r="B113" t="s">
        <v>263</v>
      </c>
      <c r="C113" s="108" t="s">
        <v>377</v>
      </c>
      <c r="D113" t="s">
        <v>269</v>
      </c>
      <c r="E113">
        <v>162</v>
      </c>
      <c r="F113">
        <v>162</v>
      </c>
      <c r="G113">
        <f t="shared" si="1"/>
        <v>162</v>
      </c>
    </row>
    <row r="114" spans="1:7">
      <c r="A114" t="s">
        <v>204</v>
      </c>
      <c r="B114" t="s">
        <v>263</v>
      </c>
      <c r="C114" s="108" t="s">
        <v>377</v>
      </c>
      <c r="D114" t="s">
        <v>294</v>
      </c>
      <c r="E114">
        <v>920</v>
      </c>
      <c r="F114">
        <v>920</v>
      </c>
      <c r="G114">
        <f t="shared" si="1"/>
        <v>920</v>
      </c>
    </row>
    <row r="115" spans="1:7">
      <c r="A115" t="s">
        <v>156</v>
      </c>
      <c r="B115" t="s">
        <v>351</v>
      </c>
      <c r="C115" t="s">
        <v>376</v>
      </c>
      <c r="D115" t="s">
        <v>272</v>
      </c>
      <c r="E115" t="s">
        <v>10</v>
      </c>
      <c r="F115">
        <v>248</v>
      </c>
      <c r="G115">
        <f t="shared" si="1"/>
        <v>248</v>
      </c>
    </row>
    <row r="116" spans="1:7">
      <c r="A116" t="s">
        <v>156</v>
      </c>
      <c r="B116" t="s">
        <v>280</v>
      </c>
      <c r="C116" t="s">
        <v>376</v>
      </c>
      <c r="D116" t="s">
        <v>289</v>
      </c>
      <c r="E116">
        <v>600</v>
      </c>
      <c r="F116">
        <v>225</v>
      </c>
      <c r="G116">
        <f t="shared" si="1"/>
        <v>412.5</v>
      </c>
    </row>
    <row r="117" spans="1:7">
      <c r="A117" t="s">
        <v>156</v>
      </c>
      <c r="B117" t="s">
        <v>280</v>
      </c>
      <c r="C117" t="s">
        <v>376</v>
      </c>
      <c r="D117" t="s">
        <v>272</v>
      </c>
      <c r="E117">
        <v>123897</v>
      </c>
      <c r="F117">
        <v>116820</v>
      </c>
      <c r="G117">
        <f t="shared" si="1"/>
        <v>120358.5</v>
      </c>
    </row>
    <row r="118" spans="1:7">
      <c r="A118" t="s">
        <v>213</v>
      </c>
      <c r="B118" t="s">
        <v>261</v>
      </c>
      <c r="C118" t="s">
        <v>377</v>
      </c>
      <c r="D118" t="s">
        <v>266</v>
      </c>
      <c r="E118">
        <v>210</v>
      </c>
      <c r="F118">
        <v>124</v>
      </c>
      <c r="G118">
        <f t="shared" si="1"/>
        <v>167</v>
      </c>
    </row>
    <row r="119" spans="1:7">
      <c r="A119" t="s">
        <v>213</v>
      </c>
      <c r="B119" t="s">
        <v>261</v>
      </c>
      <c r="C119" t="s">
        <v>377</v>
      </c>
      <c r="D119" t="s">
        <v>285</v>
      </c>
      <c r="E119">
        <v>498</v>
      </c>
      <c r="F119">
        <v>448</v>
      </c>
      <c r="G119">
        <f t="shared" si="1"/>
        <v>473</v>
      </c>
    </row>
    <row r="120" spans="1:7">
      <c r="A120" t="s">
        <v>213</v>
      </c>
      <c r="B120" t="s">
        <v>336</v>
      </c>
      <c r="C120" t="s">
        <v>377</v>
      </c>
      <c r="D120" t="s">
        <v>285</v>
      </c>
      <c r="E120">
        <v>1278</v>
      </c>
      <c r="F120">
        <v>873</v>
      </c>
      <c r="G120">
        <f t="shared" si="1"/>
        <v>1075.5</v>
      </c>
    </row>
    <row r="121" spans="1:7">
      <c r="A121" t="s">
        <v>250</v>
      </c>
      <c r="B121" t="s">
        <v>293</v>
      </c>
      <c r="C121" t="s">
        <v>377</v>
      </c>
      <c r="D121" t="s">
        <v>269</v>
      </c>
      <c r="E121">
        <v>1</v>
      </c>
      <c r="F121">
        <v>1</v>
      </c>
      <c r="G121">
        <f t="shared" si="1"/>
        <v>1</v>
      </c>
    </row>
    <row r="122" spans="1:7">
      <c r="A122" t="s">
        <v>250</v>
      </c>
      <c r="B122" t="s">
        <v>263</v>
      </c>
      <c r="C122" s="108" t="s">
        <v>377</v>
      </c>
      <c r="D122" t="s">
        <v>269</v>
      </c>
      <c r="E122">
        <v>50</v>
      </c>
      <c r="F122">
        <v>50</v>
      </c>
      <c r="G122">
        <f t="shared" si="1"/>
        <v>50</v>
      </c>
    </row>
    <row r="123" spans="1:7">
      <c r="A123" t="s">
        <v>174</v>
      </c>
      <c r="B123" t="s">
        <v>261</v>
      </c>
      <c r="C123" t="s">
        <v>377</v>
      </c>
      <c r="D123" t="s">
        <v>266</v>
      </c>
      <c r="E123">
        <v>854</v>
      </c>
      <c r="F123">
        <v>368</v>
      </c>
      <c r="G123">
        <f t="shared" si="1"/>
        <v>611</v>
      </c>
    </row>
    <row r="124" spans="1:7">
      <c r="A124" t="s">
        <v>174</v>
      </c>
      <c r="B124" t="s">
        <v>283</v>
      </c>
      <c r="C124" t="s">
        <v>377</v>
      </c>
      <c r="D124" t="s">
        <v>266</v>
      </c>
      <c r="E124">
        <v>17686</v>
      </c>
      <c r="F124">
        <v>19629</v>
      </c>
      <c r="G124">
        <f t="shared" si="1"/>
        <v>18657.5</v>
      </c>
    </row>
    <row r="125" spans="1:7">
      <c r="A125" t="s">
        <v>174</v>
      </c>
      <c r="B125" t="s">
        <v>313</v>
      </c>
      <c r="C125" t="s">
        <v>377</v>
      </c>
      <c r="D125" t="s">
        <v>266</v>
      </c>
      <c r="E125">
        <v>526</v>
      </c>
      <c r="F125">
        <v>830</v>
      </c>
      <c r="G125">
        <f t="shared" si="1"/>
        <v>678</v>
      </c>
    </row>
    <row r="126" spans="1:7">
      <c r="A126" t="s">
        <v>248</v>
      </c>
      <c r="B126" t="s">
        <v>263</v>
      </c>
      <c r="C126" s="108" t="s">
        <v>377</v>
      </c>
      <c r="D126" t="s">
        <v>266</v>
      </c>
      <c r="E126">
        <v>50</v>
      </c>
      <c r="F126">
        <v>100</v>
      </c>
      <c r="G126">
        <f t="shared" si="1"/>
        <v>75</v>
      </c>
    </row>
    <row r="127" spans="1:7">
      <c r="A127" t="s">
        <v>207</v>
      </c>
      <c r="B127" t="s">
        <v>261</v>
      </c>
      <c r="C127" t="s">
        <v>377</v>
      </c>
      <c r="D127" t="s">
        <v>285</v>
      </c>
      <c r="E127">
        <v>450</v>
      </c>
      <c r="F127">
        <v>450</v>
      </c>
      <c r="G127">
        <f t="shared" si="1"/>
        <v>450</v>
      </c>
    </row>
    <row r="128" spans="1:7">
      <c r="A128" t="s">
        <v>207</v>
      </c>
      <c r="B128" t="s">
        <v>261</v>
      </c>
      <c r="C128" t="s">
        <v>377</v>
      </c>
      <c r="D128" t="s">
        <v>266</v>
      </c>
      <c r="E128">
        <v>1698</v>
      </c>
      <c r="F128">
        <v>1585</v>
      </c>
      <c r="G128">
        <f t="shared" si="1"/>
        <v>1641.5</v>
      </c>
    </row>
    <row r="129" spans="1:7">
      <c r="A129" t="s">
        <v>189</v>
      </c>
      <c r="B129" t="s">
        <v>280</v>
      </c>
      <c r="C129" t="s">
        <v>376</v>
      </c>
      <c r="D129" t="s">
        <v>272</v>
      </c>
      <c r="E129">
        <v>185</v>
      </c>
      <c r="F129">
        <v>124</v>
      </c>
      <c r="G129">
        <f t="shared" si="1"/>
        <v>154.5</v>
      </c>
    </row>
    <row r="130" spans="1:7">
      <c r="A130" t="s">
        <v>189</v>
      </c>
      <c r="B130" t="s">
        <v>280</v>
      </c>
      <c r="C130" t="s">
        <v>376</v>
      </c>
      <c r="D130" t="s">
        <v>289</v>
      </c>
      <c r="E130">
        <v>7577</v>
      </c>
      <c r="F130">
        <v>8439</v>
      </c>
      <c r="G130">
        <f t="shared" si="1"/>
        <v>8008</v>
      </c>
    </row>
    <row r="131" spans="1:7">
      <c r="A131" t="s">
        <v>150</v>
      </c>
      <c r="B131" t="s">
        <v>261</v>
      </c>
      <c r="C131" t="s">
        <v>377</v>
      </c>
      <c r="D131" t="s">
        <v>265</v>
      </c>
      <c r="E131">
        <v>17254</v>
      </c>
      <c r="F131">
        <v>17286</v>
      </c>
      <c r="G131">
        <f t="shared" si="1"/>
        <v>17270</v>
      </c>
    </row>
    <row r="132" spans="1:7">
      <c r="A132" t="s">
        <v>150</v>
      </c>
      <c r="B132" t="s">
        <v>305</v>
      </c>
      <c r="C132" t="s">
        <v>377</v>
      </c>
      <c r="D132" t="s">
        <v>300</v>
      </c>
      <c r="E132">
        <v>50650</v>
      </c>
      <c r="F132">
        <v>74892</v>
      </c>
      <c r="G132">
        <f t="shared" si="1"/>
        <v>62771</v>
      </c>
    </row>
    <row r="133" spans="1:7">
      <c r="A133" t="s">
        <v>150</v>
      </c>
      <c r="B133" t="s">
        <v>305</v>
      </c>
      <c r="C133" t="s">
        <v>377</v>
      </c>
      <c r="D133" t="s">
        <v>260</v>
      </c>
      <c r="E133">
        <v>104881</v>
      </c>
      <c r="F133">
        <v>112972</v>
      </c>
      <c r="G133">
        <f t="shared" ref="G133:G196" si="2">AVERAGE(E133:F133)</f>
        <v>108926.5</v>
      </c>
    </row>
    <row r="134" spans="1:7">
      <c r="A134" t="s">
        <v>150</v>
      </c>
      <c r="B134" t="s">
        <v>263</v>
      </c>
      <c r="C134" s="108" t="s">
        <v>377</v>
      </c>
      <c r="D134" t="s">
        <v>265</v>
      </c>
      <c r="E134">
        <v>35325</v>
      </c>
      <c r="F134">
        <v>28298</v>
      </c>
      <c r="G134">
        <f t="shared" si="2"/>
        <v>31811.5</v>
      </c>
    </row>
    <row r="135" spans="1:7">
      <c r="A135" t="s">
        <v>150</v>
      </c>
      <c r="B135" t="s">
        <v>263</v>
      </c>
      <c r="C135" s="108" t="s">
        <v>377</v>
      </c>
      <c r="D135" t="s">
        <v>300</v>
      </c>
      <c r="E135">
        <v>56800</v>
      </c>
      <c r="F135">
        <v>44625</v>
      </c>
      <c r="G135">
        <f t="shared" si="2"/>
        <v>50712.5</v>
      </c>
    </row>
    <row r="136" spans="1:7">
      <c r="A136" t="s">
        <v>150</v>
      </c>
      <c r="B136" t="s">
        <v>263</v>
      </c>
      <c r="C136" s="108" t="s">
        <v>377</v>
      </c>
      <c r="D136" t="s">
        <v>260</v>
      </c>
      <c r="E136">
        <v>38847</v>
      </c>
      <c r="F136">
        <v>105130</v>
      </c>
      <c r="G136">
        <f t="shared" si="2"/>
        <v>71988.5</v>
      </c>
    </row>
    <row r="137" spans="1:7">
      <c r="A137" t="s">
        <v>151</v>
      </c>
      <c r="B137" t="s">
        <v>305</v>
      </c>
      <c r="C137" t="s">
        <v>377</v>
      </c>
      <c r="D137" t="s">
        <v>300</v>
      </c>
      <c r="E137">
        <v>5914</v>
      </c>
      <c r="F137">
        <v>5115</v>
      </c>
      <c r="G137">
        <f t="shared" si="2"/>
        <v>5514.5</v>
      </c>
    </row>
    <row r="138" spans="1:7">
      <c r="A138" t="s">
        <v>151</v>
      </c>
      <c r="B138" t="s">
        <v>302</v>
      </c>
      <c r="C138" t="s">
        <v>377</v>
      </c>
      <c r="D138" t="s">
        <v>262</v>
      </c>
      <c r="E138">
        <v>21773</v>
      </c>
      <c r="F138">
        <v>18713</v>
      </c>
      <c r="G138">
        <f t="shared" si="2"/>
        <v>20243</v>
      </c>
    </row>
    <row r="139" spans="1:7">
      <c r="A139" t="s">
        <v>151</v>
      </c>
      <c r="B139" t="s">
        <v>305</v>
      </c>
      <c r="C139" t="s">
        <v>377</v>
      </c>
      <c r="D139" t="s">
        <v>262</v>
      </c>
      <c r="E139">
        <v>22405</v>
      </c>
      <c r="F139">
        <v>21302</v>
      </c>
      <c r="G139">
        <f t="shared" si="2"/>
        <v>21853.5</v>
      </c>
    </row>
    <row r="140" spans="1:7">
      <c r="A140" t="s">
        <v>151</v>
      </c>
      <c r="B140" t="s">
        <v>302</v>
      </c>
      <c r="C140" t="s">
        <v>377</v>
      </c>
      <c r="D140" t="s">
        <v>300</v>
      </c>
      <c r="E140">
        <v>17832</v>
      </c>
      <c r="F140">
        <v>28559</v>
      </c>
      <c r="G140">
        <f t="shared" si="2"/>
        <v>23195.5</v>
      </c>
    </row>
    <row r="141" spans="1:7">
      <c r="A141" t="s">
        <v>151</v>
      </c>
      <c r="B141" t="s">
        <v>304</v>
      </c>
      <c r="C141" t="s">
        <v>377</v>
      </c>
      <c r="D141" t="s">
        <v>300</v>
      </c>
      <c r="E141">
        <v>21469</v>
      </c>
      <c r="F141">
        <v>32701</v>
      </c>
      <c r="G141">
        <f t="shared" si="2"/>
        <v>27085</v>
      </c>
    </row>
    <row r="142" spans="1:7">
      <c r="A142" t="s">
        <v>151</v>
      </c>
      <c r="B142" t="s">
        <v>304</v>
      </c>
      <c r="C142" t="s">
        <v>377</v>
      </c>
      <c r="D142" t="s">
        <v>262</v>
      </c>
      <c r="E142">
        <v>54950</v>
      </c>
      <c r="F142">
        <v>50918</v>
      </c>
      <c r="G142">
        <f t="shared" si="2"/>
        <v>52934</v>
      </c>
    </row>
    <row r="143" spans="1:7">
      <c r="A143" t="s">
        <v>151</v>
      </c>
      <c r="B143" t="s">
        <v>263</v>
      </c>
      <c r="C143" s="108" t="s">
        <v>377</v>
      </c>
      <c r="D143" t="s">
        <v>265</v>
      </c>
      <c r="E143">
        <v>4538</v>
      </c>
      <c r="F143">
        <v>4548</v>
      </c>
      <c r="G143">
        <f t="shared" si="2"/>
        <v>4543</v>
      </c>
    </row>
    <row r="144" spans="1:7">
      <c r="A144" t="s">
        <v>151</v>
      </c>
      <c r="B144" t="s">
        <v>263</v>
      </c>
      <c r="C144" s="108" t="s">
        <v>377</v>
      </c>
      <c r="D144" t="s">
        <v>300</v>
      </c>
      <c r="E144">
        <v>12547</v>
      </c>
      <c r="F144">
        <v>23859</v>
      </c>
      <c r="G144">
        <f t="shared" si="2"/>
        <v>18203</v>
      </c>
    </row>
    <row r="145" spans="1:7">
      <c r="A145" t="s">
        <v>151</v>
      </c>
      <c r="B145" t="s">
        <v>263</v>
      </c>
      <c r="C145" s="108" t="s">
        <v>377</v>
      </c>
      <c r="D145" t="s">
        <v>262</v>
      </c>
      <c r="E145">
        <v>62785</v>
      </c>
      <c r="F145">
        <v>68910</v>
      </c>
      <c r="G145">
        <f t="shared" si="2"/>
        <v>65847.5</v>
      </c>
    </row>
    <row r="146" spans="1:7">
      <c r="A146" t="s">
        <v>350</v>
      </c>
      <c r="B146" t="s">
        <v>263</v>
      </c>
      <c r="C146" s="108" t="s">
        <v>377</v>
      </c>
      <c r="D146" t="s">
        <v>260</v>
      </c>
      <c r="E146">
        <v>6204</v>
      </c>
      <c r="F146">
        <v>6861</v>
      </c>
      <c r="G146">
        <f t="shared" si="2"/>
        <v>6532.5</v>
      </c>
    </row>
    <row r="147" spans="1:7">
      <c r="A147" t="s">
        <v>253</v>
      </c>
      <c r="B147" t="s">
        <v>306</v>
      </c>
      <c r="C147" t="s">
        <v>377</v>
      </c>
      <c r="D147" t="s">
        <v>260</v>
      </c>
      <c r="E147">
        <v>5</v>
      </c>
      <c r="F147">
        <v>35</v>
      </c>
      <c r="G147">
        <f t="shared" si="2"/>
        <v>20</v>
      </c>
    </row>
    <row r="148" spans="1:7">
      <c r="A148" t="s">
        <v>243</v>
      </c>
      <c r="B148" t="s">
        <v>290</v>
      </c>
      <c r="C148" t="s">
        <v>376</v>
      </c>
      <c r="D148" t="s">
        <v>289</v>
      </c>
      <c r="E148">
        <v>27</v>
      </c>
      <c r="F148">
        <v>16</v>
      </c>
      <c r="G148">
        <f t="shared" si="2"/>
        <v>21.5</v>
      </c>
    </row>
    <row r="149" spans="1:7">
      <c r="A149" t="s">
        <v>243</v>
      </c>
      <c r="B149" t="s">
        <v>332</v>
      </c>
      <c r="C149" t="s">
        <v>376</v>
      </c>
      <c r="D149" t="s">
        <v>289</v>
      </c>
      <c r="E149">
        <v>107</v>
      </c>
      <c r="F149">
        <v>95</v>
      </c>
      <c r="G149">
        <f t="shared" si="2"/>
        <v>101</v>
      </c>
    </row>
    <row r="150" spans="1:7">
      <c r="A150" t="s">
        <v>235</v>
      </c>
      <c r="B150" t="s">
        <v>310</v>
      </c>
      <c r="C150" t="s">
        <v>377</v>
      </c>
      <c r="D150" t="s">
        <v>294</v>
      </c>
      <c r="E150">
        <v>228</v>
      </c>
      <c r="F150">
        <v>228</v>
      </c>
      <c r="G150">
        <f t="shared" si="2"/>
        <v>228</v>
      </c>
    </row>
    <row r="151" spans="1:7">
      <c r="A151" t="s">
        <v>235</v>
      </c>
      <c r="B151" t="s">
        <v>263</v>
      </c>
      <c r="C151" s="108" t="s">
        <v>377</v>
      </c>
      <c r="D151" t="s">
        <v>294</v>
      </c>
      <c r="E151">
        <v>13</v>
      </c>
      <c r="F151">
        <v>13</v>
      </c>
      <c r="G151">
        <f t="shared" si="2"/>
        <v>13</v>
      </c>
    </row>
    <row r="152" spans="1:7">
      <c r="A152" t="s">
        <v>178</v>
      </c>
      <c r="B152" t="s">
        <v>349</v>
      </c>
      <c r="C152" t="s">
        <v>377</v>
      </c>
      <c r="D152" t="s">
        <v>294</v>
      </c>
      <c r="E152">
        <v>3231</v>
      </c>
      <c r="F152">
        <v>2904</v>
      </c>
      <c r="G152">
        <f t="shared" si="2"/>
        <v>3067.5</v>
      </c>
    </row>
    <row r="153" spans="1:7">
      <c r="A153" t="s">
        <v>178</v>
      </c>
      <c r="B153" t="s">
        <v>297</v>
      </c>
      <c r="C153" t="s">
        <v>377</v>
      </c>
      <c r="D153" t="s">
        <v>294</v>
      </c>
      <c r="E153">
        <v>852</v>
      </c>
      <c r="F153">
        <v>747</v>
      </c>
      <c r="G153">
        <f t="shared" si="2"/>
        <v>799.5</v>
      </c>
    </row>
    <row r="154" spans="1:7">
      <c r="A154" t="s">
        <v>178</v>
      </c>
      <c r="B154" t="s">
        <v>293</v>
      </c>
      <c r="C154" t="s">
        <v>377</v>
      </c>
      <c r="D154" t="s">
        <v>294</v>
      </c>
      <c r="E154">
        <v>10675</v>
      </c>
      <c r="F154">
        <v>10029</v>
      </c>
      <c r="G154">
        <f t="shared" si="2"/>
        <v>10352</v>
      </c>
    </row>
    <row r="155" spans="1:7">
      <c r="A155" t="s">
        <v>178</v>
      </c>
      <c r="B155" t="s">
        <v>290</v>
      </c>
      <c r="C155" t="s">
        <v>376</v>
      </c>
      <c r="D155" t="s">
        <v>294</v>
      </c>
      <c r="E155">
        <v>84</v>
      </c>
      <c r="F155">
        <v>119</v>
      </c>
      <c r="G155">
        <f t="shared" si="2"/>
        <v>101.5</v>
      </c>
    </row>
    <row r="156" spans="1:7">
      <c r="A156" t="s">
        <v>178</v>
      </c>
      <c r="B156" t="s">
        <v>263</v>
      </c>
      <c r="C156" s="108" t="s">
        <v>377</v>
      </c>
      <c r="D156" t="s">
        <v>269</v>
      </c>
      <c r="E156">
        <v>454</v>
      </c>
      <c r="F156" t="s">
        <v>268</v>
      </c>
      <c r="G156">
        <f t="shared" si="2"/>
        <v>454</v>
      </c>
    </row>
    <row r="157" spans="1:7">
      <c r="A157" t="s">
        <v>177</v>
      </c>
      <c r="B157" t="s">
        <v>310</v>
      </c>
      <c r="C157" t="s">
        <v>377</v>
      </c>
      <c r="D157" t="s">
        <v>295</v>
      </c>
      <c r="E157">
        <v>551</v>
      </c>
      <c r="F157">
        <v>558</v>
      </c>
      <c r="G157">
        <f t="shared" si="2"/>
        <v>554.5</v>
      </c>
    </row>
    <row r="158" spans="1:7">
      <c r="A158" t="s">
        <v>177</v>
      </c>
      <c r="B158" t="s">
        <v>263</v>
      </c>
      <c r="C158" s="108" t="s">
        <v>376</v>
      </c>
      <c r="D158" t="s">
        <v>295</v>
      </c>
      <c r="E158">
        <v>16825</v>
      </c>
      <c r="F158">
        <v>17746</v>
      </c>
      <c r="G158">
        <f t="shared" si="2"/>
        <v>17285.5</v>
      </c>
    </row>
    <row r="159" spans="1:7">
      <c r="A159" t="s">
        <v>236</v>
      </c>
      <c r="B159" t="s">
        <v>263</v>
      </c>
      <c r="C159" s="108" t="s">
        <v>377</v>
      </c>
      <c r="D159" t="s">
        <v>260</v>
      </c>
      <c r="E159">
        <v>251</v>
      </c>
      <c r="F159">
        <v>211</v>
      </c>
      <c r="G159">
        <f t="shared" si="2"/>
        <v>231</v>
      </c>
    </row>
    <row r="160" spans="1:7">
      <c r="A160" t="s">
        <v>345</v>
      </c>
      <c r="B160" t="s">
        <v>348</v>
      </c>
      <c r="C160" t="s">
        <v>377</v>
      </c>
      <c r="D160" t="s">
        <v>295</v>
      </c>
      <c r="E160">
        <v>252</v>
      </c>
      <c r="F160">
        <v>52</v>
      </c>
      <c r="G160">
        <f t="shared" si="2"/>
        <v>152</v>
      </c>
    </row>
    <row r="161" spans="1:7">
      <c r="A161" t="s">
        <v>345</v>
      </c>
      <c r="B161" t="s">
        <v>310</v>
      </c>
      <c r="C161" t="s">
        <v>377</v>
      </c>
      <c r="D161" t="s">
        <v>295</v>
      </c>
      <c r="E161">
        <v>123</v>
      </c>
      <c r="F161">
        <v>74</v>
      </c>
      <c r="G161">
        <f t="shared" si="2"/>
        <v>98.5</v>
      </c>
    </row>
    <row r="162" spans="1:7">
      <c r="A162" t="s">
        <v>345</v>
      </c>
      <c r="B162" t="s">
        <v>311</v>
      </c>
      <c r="C162" t="s">
        <v>377</v>
      </c>
      <c r="D162" t="s">
        <v>295</v>
      </c>
      <c r="E162">
        <v>2587</v>
      </c>
      <c r="F162">
        <v>1944</v>
      </c>
      <c r="G162">
        <f t="shared" si="2"/>
        <v>2265.5</v>
      </c>
    </row>
    <row r="163" spans="1:7">
      <c r="A163" t="s">
        <v>345</v>
      </c>
      <c r="B163" t="s">
        <v>346</v>
      </c>
      <c r="C163" t="s">
        <v>375</v>
      </c>
      <c r="D163" t="s">
        <v>295</v>
      </c>
      <c r="E163">
        <v>18861</v>
      </c>
      <c r="F163">
        <v>20728</v>
      </c>
      <c r="G163">
        <f t="shared" si="2"/>
        <v>19794.5</v>
      </c>
    </row>
    <row r="164" spans="1:7">
      <c r="A164" t="s">
        <v>345</v>
      </c>
      <c r="B164" t="s">
        <v>263</v>
      </c>
      <c r="C164" s="108" t="s">
        <v>377</v>
      </c>
      <c r="D164" t="s">
        <v>262</v>
      </c>
      <c r="E164">
        <v>2</v>
      </c>
      <c r="F164">
        <v>3</v>
      </c>
      <c r="G164">
        <f t="shared" si="2"/>
        <v>2.5</v>
      </c>
    </row>
    <row r="165" spans="1:7">
      <c r="A165" t="s">
        <v>345</v>
      </c>
      <c r="B165" t="s">
        <v>263</v>
      </c>
      <c r="C165" s="108" t="s">
        <v>377</v>
      </c>
      <c r="D165" t="s">
        <v>260</v>
      </c>
      <c r="E165">
        <v>3</v>
      </c>
      <c r="F165" t="s">
        <v>10</v>
      </c>
      <c r="G165">
        <f t="shared" si="2"/>
        <v>3</v>
      </c>
    </row>
    <row r="166" spans="1:7">
      <c r="A166" t="s">
        <v>345</v>
      </c>
      <c r="B166" t="s">
        <v>263</v>
      </c>
      <c r="C166" s="108" t="s">
        <v>377</v>
      </c>
      <c r="D166" t="s">
        <v>269</v>
      </c>
      <c r="E166">
        <v>99</v>
      </c>
      <c r="F166">
        <v>218</v>
      </c>
      <c r="G166">
        <f t="shared" si="2"/>
        <v>158.5</v>
      </c>
    </row>
    <row r="167" spans="1:7">
      <c r="A167" t="s">
        <v>345</v>
      </c>
      <c r="B167" t="s">
        <v>263</v>
      </c>
      <c r="C167" t="s">
        <v>376</v>
      </c>
      <c r="D167" t="s">
        <v>295</v>
      </c>
      <c r="E167">
        <v>8099</v>
      </c>
      <c r="F167">
        <v>5738</v>
      </c>
      <c r="G167">
        <f t="shared" si="2"/>
        <v>6918.5</v>
      </c>
    </row>
    <row r="168" spans="1:7">
      <c r="A168" t="s">
        <v>345</v>
      </c>
      <c r="B168" t="s">
        <v>347</v>
      </c>
      <c r="C168" t="s">
        <v>377</v>
      </c>
      <c r="D168" t="s">
        <v>295</v>
      </c>
      <c r="E168">
        <v>652</v>
      </c>
      <c r="F168">
        <v>1052</v>
      </c>
      <c r="G168">
        <f t="shared" si="2"/>
        <v>852</v>
      </c>
    </row>
    <row r="169" spans="1:7">
      <c r="A169" t="s">
        <v>214</v>
      </c>
      <c r="B169" t="s">
        <v>263</v>
      </c>
      <c r="C169" s="108" t="s">
        <v>377</v>
      </c>
      <c r="D169" t="s">
        <v>260</v>
      </c>
      <c r="E169">
        <v>1700</v>
      </c>
      <c r="F169">
        <v>1700</v>
      </c>
      <c r="G169">
        <f t="shared" si="2"/>
        <v>1700</v>
      </c>
    </row>
    <row r="170" spans="1:7">
      <c r="A170" t="s">
        <v>229</v>
      </c>
      <c r="B170" t="s">
        <v>280</v>
      </c>
      <c r="C170" t="s">
        <v>376</v>
      </c>
      <c r="D170" t="s">
        <v>289</v>
      </c>
      <c r="E170" t="s">
        <v>10</v>
      </c>
      <c r="F170">
        <v>112</v>
      </c>
      <c r="G170">
        <f t="shared" si="2"/>
        <v>112</v>
      </c>
    </row>
    <row r="171" spans="1:7">
      <c r="A171" t="s">
        <v>229</v>
      </c>
      <c r="B171" t="s">
        <v>280</v>
      </c>
      <c r="C171" t="s">
        <v>376</v>
      </c>
      <c r="D171" t="s">
        <v>272</v>
      </c>
      <c r="E171">
        <v>994</v>
      </c>
      <c r="F171">
        <v>325</v>
      </c>
      <c r="G171">
        <f t="shared" si="2"/>
        <v>659.5</v>
      </c>
    </row>
    <row r="172" spans="1:7">
      <c r="A172" t="s">
        <v>251</v>
      </c>
      <c r="B172" t="s">
        <v>293</v>
      </c>
      <c r="C172" t="s">
        <v>377</v>
      </c>
      <c r="D172" t="s">
        <v>269</v>
      </c>
      <c r="E172">
        <v>10</v>
      </c>
      <c r="F172">
        <v>10</v>
      </c>
      <c r="G172">
        <f t="shared" si="2"/>
        <v>10</v>
      </c>
    </row>
    <row r="173" spans="1:7">
      <c r="A173" t="s">
        <v>251</v>
      </c>
      <c r="B173" t="s">
        <v>263</v>
      </c>
      <c r="C173" s="108" t="s">
        <v>377</v>
      </c>
      <c r="D173" t="s">
        <v>269</v>
      </c>
      <c r="E173">
        <v>30</v>
      </c>
      <c r="F173">
        <v>30</v>
      </c>
      <c r="G173">
        <f t="shared" si="2"/>
        <v>30</v>
      </c>
    </row>
    <row r="174" spans="1:7">
      <c r="A174" t="s">
        <v>232</v>
      </c>
      <c r="B174" t="s">
        <v>297</v>
      </c>
      <c r="C174" t="s">
        <v>377</v>
      </c>
      <c r="D174" t="s">
        <v>294</v>
      </c>
      <c r="E174">
        <v>760</v>
      </c>
      <c r="F174">
        <v>450</v>
      </c>
      <c r="G174">
        <f t="shared" si="2"/>
        <v>605</v>
      </c>
    </row>
    <row r="175" spans="1:7">
      <c r="A175" t="s">
        <v>223</v>
      </c>
      <c r="B175" t="s">
        <v>280</v>
      </c>
      <c r="C175" t="s">
        <v>376</v>
      </c>
      <c r="D175" t="s">
        <v>272</v>
      </c>
      <c r="E175">
        <v>442</v>
      </c>
      <c r="F175" t="s">
        <v>10</v>
      </c>
      <c r="G175">
        <f t="shared" si="2"/>
        <v>442</v>
      </c>
    </row>
    <row r="176" spans="1:7">
      <c r="A176" t="s">
        <v>223</v>
      </c>
      <c r="B176" t="s">
        <v>280</v>
      </c>
      <c r="C176" t="s">
        <v>376</v>
      </c>
      <c r="D176" t="s">
        <v>289</v>
      </c>
      <c r="E176">
        <v>388</v>
      </c>
      <c r="F176">
        <v>749</v>
      </c>
      <c r="G176">
        <f t="shared" si="2"/>
        <v>568.5</v>
      </c>
    </row>
    <row r="177" spans="1:7">
      <c r="A177" t="s">
        <v>197</v>
      </c>
      <c r="B177" t="s">
        <v>263</v>
      </c>
      <c r="C177" s="108" t="s">
        <v>377</v>
      </c>
      <c r="D177" t="s">
        <v>260</v>
      </c>
      <c r="E177">
        <v>6509</v>
      </c>
      <c r="F177">
        <v>4280</v>
      </c>
      <c r="G177">
        <f t="shared" si="2"/>
        <v>5394.5</v>
      </c>
    </row>
    <row r="178" spans="1:7">
      <c r="A178" t="s">
        <v>158</v>
      </c>
      <c r="B178" t="s">
        <v>303</v>
      </c>
      <c r="C178" t="s">
        <v>375</v>
      </c>
      <c r="D178" t="s">
        <v>262</v>
      </c>
      <c r="E178">
        <v>5460</v>
      </c>
      <c r="F178">
        <v>5442</v>
      </c>
      <c r="G178">
        <f t="shared" si="2"/>
        <v>5451</v>
      </c>
    </row>
    <row r="179" spans="1:7">
      <c r="A179" t="s">
        <v>158</v>
      </c>
      <c r="B179" t="s">
        <v>303</v>
      </c>
      <c r="C179" t="s">
        <v>375</v>
      </c>
      <c r="D179" t="s">
        <v>300</v>
      </c>
      <c r="E179">
        <v>47306</v>
      </c>
      <c r="F179">
        <v>30764</v>
      </c>
      <c r="G179">
        <f t="shared" si="2"/>
        <v>39035</v>
      </c>
    </row>
    <row r="180" spans="1:7">
      <c r="A180" t="s">
        <v>158</v>
      </c>
      <c r="B180" t="s">
        <v>263</v>
      </c>
      <c r="C180" s="108" t="s">
        <v>377</v>
      </c>
      <c r="D180" t="s">
        <v>262</v>
      </c>
      <c r="E180">
        <v>24211</v>
      </c>
      <c r="F180">
        <v>24879</v>
      </c>
      <c r="G180">
        <f t="shared" si="2"/>
        <v>24545</v>
      </c>
    </row>
    <row r="181" spans="1:7">
      <c r="A181" t="s">
        <v>158</v>
      </c>
      <c r="B181" t="s">
        <v>263</v>
      </c>
      <c r="C181" s="108" t="s">
        <v>377</v>
      </c>
      <c r="D181" t="s">
        <v>300</v>
      </c>
      <c r="E181">
        <v>39002</v>
      </c>
      <c r="F181">
        <v>48066</v>
      </c>
      <c r="G181">
        <f t="shared" si="2"/>
        <v>43534</v>
      </c>
    </row>
    <row r="182" spans="1:7">
      <c r="A182" t="s">
        <v>249</v>
      </c>
      <c r="B182" t="s">
        <v>299</v>
      </c>
      <c r="C182" t="s">
        <v>377</v>
      </c>
      <c r="D182" t="s">
        <v>294</v>
      </c>
      <c r="E182">
        <v>2</v>
      </c>
      <c r="F182">
        <v>2</v>
      </c>
      <c r="G182">
        <f t="shared" si="2"/>
        <v>2</v>
      </c>
    </row>
    <row r="183" spans="1:7">
      <c r="A183" t="s">
        <v>249</v>
      </c>
      <c r="B183" t="s">
        <v>293</v>
      </c>
      <c r="C183" t="s">
        <v>377</v>
      </c>
      <c r="D183" t="s">
        <v>294</v>
      </c>
      <c r="E183">
        <v>7</v>
      </c>
      <c r="F183">
        <v>21</v>
      </c>
      <c r="G183">
        <f t="shared" si="2"/>
        <v>14</v>
      </c>
    </row>
    <row r="184" spans="1:7">
      <c r="A184" t="s">
        <v>249</v>
      </c>
      <c r="B184" t="s">
        <v>321</v>
      </c>
      <c r="C184" t="s">
        <v>377</v>
      </c>
      <c r="D184" t="s">
        <v>294</v>
      </c>
      <c r="E184">
        <v>27</v>
      </c>
      <c r="F184">
        <v>41</v>
      </c>
      <c r="G184">
        <f t="shared" si="2"/>
        <v>34</v>
      </c>
    </row>
    <row r="185" spans="1:7">
      <c r="A185" t="s">
        <v>249</v>
      </c>
      <c r="B185" t="s">
        <v>344</v>
      </c>
      <c r="C185" t="s">
        <v>377</v>
      </c>
      <c r="D185" t="s">
        <v>294</v>
      </c>
      <c r="E185">
        <v>5</v>
      </c>
      <c r="F185">
        <v>7</v>
      </c>
      <c r="G185">
        <f t="shared" si="2"/>
        <v>6</v>
      </c>
    </row>
    <row r="186" spans="1:7">
      <c r="A186" t="s">
        <v>249</v>
      </c>
      <c r="B186" t="s">
        <v>292</v>
      </c>
      <c r="C186" t="s">
        <v>376</v>
      </c>
      <c r="D186" t="s">
        <v>294</v>
      </c>
      <c r="E186">
        <v>0</v>
      </c>
      <c r="F186">
        <v>1</v>
      </c>
      <c r="G186">
        <f t="shared" si="2"/>
        <v>0.5</v>
      </c>
    </row>
    <row r="187" spans="1:7">
      <c r="A187" t="s">
        <v>249</v>
      </c>
      <c r="B187" t="s">
        <v>263</v>
      </c>
      <c r="C187" s="108" t="s">
        <v>377</v>
      </c>
      <c r="D187" t="s">
        <v>294</v>
      </c>
      <c r="E187">
        <v>5</v>
      </c>
      <c r="F187" t="s">
        <v>10</v>
      </c>
      <c r="G187">
        <f t="shared" si="2"/>
        <v>5</v>
      </c>
    </row>
    <row r="188" spans="1:7">
      <c r="A188" t="s">
        <v>234</v>
      </c>
      <c r="B188" t="s">
        <v>293</v>
      </c>
      <c r="C188" t="s">
        <v>377</v>
      </c>
      <c r="D188" t="s">
        <v>269</v>
      </c>
      <c r="E188">
        <v>5</v>
      </c>
      <c r="F188" t="s">
        <v>268</v>
      </c>
      <c r="G188">
        <f t="shared" si="2"/>
        <v>5</v>
      </c>
    </row>
    <row r="189" spans="1:7">
      <c r="A189" t="s">
        <v>234</v>
      </c>
      <c r="B189" t="s">
        <v>263</v>
      </c>
      <c r="C189" s="108" t="s">
        <v>377</v>
      </c>
      <c r="D189" t="s">
        <v>269</v>
      </c>
      <c r="E189">
        <v>205</v>
      </c>
      <c r="F189">
        <v>320</v>
      </c>
      <c r="G189">
        <f t="shared" si="2"/>
        <v>262.5</v>
      </c>
    </row>
    <row r="190" spans="1:7">
      <c r="A190" t="s">
        <v>161</v>
      </c>
      <c r="B190" t="s">
        <v>341</v>
      </c>
      <c r="C190" t="s">
        <v>377</v>
      </c>
      <c r="D190" t="s">
        <v>285</v>
      </c>
      <c r="E190">
        <v>14600</v>
      </c>
      <c r="F190">
        <v>24595</v>
      </c>
      <c r="G190">
        <f t="shared" si="2"/>
        <v>19597.5</v>
      </c>
    </row>
    <row r="191" spans="1:7">
      <c r="A191" t="s">
        <v>161</v>
      </c>
      <c r="B191" t="s">
        <v>276</v>
      </c>
      <c r="C191" t="s">
        <v>377</v>
      </c>
      <c r="D191" t="s">
        <v>266</v>
      </c>
      <c r="E191">
        <v>62</v>
      </c>
      <c r="F191">
        <v>562</v>
      </c>
      <c r="G191">
        <f t="shared" si="2"/>
        <v>312</v>
      </c>
    </row>
    <row r="192" spans="1:7">
      <c r="A192" t="s">
        <v>161</v>
      </c>
      <c r="B192" t="s">
        <v>283</v>
      </c>
      <c r="C192" t="s">
        <v>377</v>
      </c>
      <c r="D192" t="s">
        <v>266</v>
      </c>
      <c r="E192">
        <v>638</v>
      </c>
      <c r="F192">
        <v>1868</v>
      </c>
      <c r="G192">
        <f t="shared" si="2"/>
        <v>1253</v>
      </c>
    </row>
    <row r="193" spans="1:7">
      <c r="A193" t="s">
        <v>161</v>
      </c>
      <c r="B193" t="s">
        <v>343</v>
      </c>
      <c r="C193" t="s">
        <v>377</v>
      </c>
      <c r="D193" t="s">
        <v>285</v>
      </c>
      <c r="E193">
        <v>452</v>
      </c>
      <c r="F193">
        <v>2747</v>
      </c>
      <c r="G193">
        <f t="shared" si="2"/>
        <v>1599.5</v>
      </c>
    </row>
    <row r="194" spans="1:7">
      <c r="A194" t="s">
        <v>161</v>
      </c>
      <c r="B194" t="s">
        <v>281</v>
      </c>
      <c r="C194" t="s">
        <v>377</v>
      </c>
      <c r="D194" t="s">
        <v>266</v>
      </c>
      <c r="E194">
        <v>811</v>
      </c>
      <c r="F194">
        <v>2389</v>
      </c>
      <c r="G194">
        <f t="shared" si="2"/>
        <v>1600</v>
      </c>
    </row>
    <row r="195" spans="1:7">
      <c r="A195" t="s">
        <v>161</v>
      </c>
      <c r="B195" t="s">
        <v>277</v>
      </c>
      <c r="C195" t="s">
        <v>377</v>
      </c>
      <c r="D195" t="s">
        <v>266</v>
      </c>
      <c r="E195">
        <v>1381</v>
      </c>
      <c r="F195">
        <v>6452</v>
      </c>
      <c r="G195">
        <f t="shared" si="2"/>
        <v>3916.5</v>
      </c>
    </row>
    <row r="196" spans="1:7">
      <c r="A196" t="s">
        <v>161</v>
      </c>
      <c r="B196" t="s">
        <v>342</v>
      </c>
      <c r="C196" t="s">
        <v>377</v>
      </c>
      <c r="D196" t="s">
        <v>285</v>
      </c>
      <c r="E196">
        <v>8222</v>
      </c>
      <c r="F196">
        <v>11041</v>
      </c>
      <c r="G196">
        <f t="shared" si="2"/>
        <v>9631.5</v>
      </c>
    </row>
    <row r="197" spans="1:7">
      <c r="A197" t="s">
        <v>161</v>
      </c>
      <c r="B197" t="s">
        <v>261</v>
      </c>
      <c r="C197" t="s">
        <v>377</v>
      </c>
      <c r="D197" t="s">
        <v>266</v>
      </c>
      <c r="E197">
        <v>9216</v>
      </c>
      <c r="F197">
        <v>10426</v>
      </c>
      <c r="G197">
        <f t="shared" ref="G197:G260" si="3">AVERAGE(E197:F197)</f>
        <v>9821</v>
      </c>
    </row>
    <row r="198" spans="1:7">
      <c r="A198" t="s">
        <v>161</v>
      </c>
      <c r="B198" t="s">
        <v>261</v>
      </c>
      <c r="C198" t="s">
        <v>377</v>
      </c>
      <c r="D198" t="s">
        <v>285</v>
      </c>
      <c r="E198">
        <v>27023</v>
      </c>
      <c r="F198">
        <v>17154</v>
      </c>
      <c r="G198">
        <f t="shared" si="3"/>
        <v>22088.5</v>
      </c>
    </row>
    <row r="199" spans="1:7">
      <c r="A199" t="s">
        <v>186</v>
      </c>
      <c r="B199" t="s">
        <v>263</v>
      </c>
      <c r="C199" s="108" t="s">
        <v>377</v>
      </c>
      <c r="D199" t="s">
        <v>294</v>
      </c>
      <c r="E199">
        <v>389</v>
      </c>
      <c r="F199">
        <v>588</v>
      </c>
      <c r="G199">
        <f t="shared" si="3"/>
        <v>488.5</v>
      </c>
    </row>
    <row r="200" spans="1:7">
      <c r="A200" t="s">
        <v>186</v>
      </c>
      <c r="B200" t="s">
        <v>263</v>
      </c>
      <c r="C200" s="108" t="s">
        <v>377</v>
      </c>
      <c r="D200" t="s">
        <v>269</v>
      </c>
      <c r="E200">
        <v>7136</v>
      </c>
      <c r="F200">
        <v>10531</v>
      </c>
      <c r="G200">
        <f t="shared" si="3"/>
        <v>8833.5</v>
      </c>
    </row>
    <row r="201" spans="1:7">
      <c r="A201" t="s">
        <v>180</v>
      </c>
      <c r="B201" t="s">
        <v>323</v>
      </c>
      <c r="C201" t="s">
        <v>377</v>
      </c>
      <c r="D201" t="s">
        <v>260</v>
      </c>
      <c r="E201">
        <v>1261</v>
      </c>
      <c r="F201">
        <v>1288</v>
      </c>
      <c r="G201">
        <f t="shared" si="3"/>
        <v>1274.5</v>
      </c>
    </row>
    <row r="202" spans="1:7">
      <c r="A202" t="s">
        <v>180</v>
      </c>
      <c r="B202" t="s">
        <v>340</v>
      </c>
      <c r="C202" t="s">
        <v>375</v>
      </c>
      <c r="D202" t="s">
        <v>260</v>
      </c>
      <c r="E202">
        <v>2458</v>
      </c>
      <c r="F202">
        <v>2171</v>
      </c>
      <c r="G202">
        <f t="shared" si="3"/>
        <v>2314.5</v>
      </c>
    </row>
    <row r="203" spans="1:7">
      <c r="A203" t="s">
        <v>180</v>
      </c>
      <c r="B203" t="s">
        <v>261</v>
      </c>
      <c r="C203" t="s">
        <v>377</v>
      </c>
      <c r="D203" t="s">
        <v>260</v>
      </c>
      <c r="E203">
        <v>9974</v>
      </c>
      <c r="F203">
        <v>6445</v>
      </c>
      <c r="G203">
        <f t="shared" si="3"/>
        <v>8209.5</v>
      </c>
    </row>
    <row r="204" spans="1:7">
      <c r="A204" t="s">
        <v>165</v>
      </c>
      <c r="B204" t="s">
        <v>263</v>
      </c>
      <c r="C204" s="108" t="s">
        <v>377</v>
      </c>
      <c r="D204" t="s">
        <v>300</v>
      </c>
      <c r="E204">
        <v>41000</v>
      </c>
      <c r="F204">
        <v>43000</v>
      </c>
      <c r="G204">
        <f t="shared" si="3"/>
        <v>42000</v>
      </c>
    </row>
    <row r="205" spans="1:7">
      <c r="A205" t="s">
        <v>175</v>
      </c>
      <c r="B205" t="s">
        <v>290</v>
      </c>
      <c r="C205" t="s">
        <v>376</v>
      </c>
      <c r="D205" t="s">
        <v>289</v>
      </c>
      <c r="E205">
        <v>18939</v>
      </c>
      <c r="F205">
        <v>18023</v>
      </c>
      <c r="G205">
        <f t="shared" si="3"/>
        <v>18481</v>
      </c>
    </row>
    <row r="206" spans="1:7">
      <c r="A206" t="s">
        <v>256</v>
      </c>
      <c r="B206" t="s">
        <v>263</v>
      </c>
      <c r="C206" s="108" t="s">
        <v>376</v>
      </c>
      <c r="D206" t="s">
        <v>339</v>
      </c>
      <c r="E206" t="s">
        <v>10</v>
      </c>
      <c r="F206">
        <v>8</v>
      </c>
      <c r="G206">
        <f t="shared" si="3"/>
        <v>8</v>
      </c>
    </row>
    <row r="207" spans="1:7">
      <c r="A207" t="s">
        <v>206</v>
      </c>
      <c r="B207" t="s">
        <v>261</v>
      </c>
      <c r="C207" t="s">
        <v>377</v>
      </c>
      <c r="D207" t="s">
        <v>285</v>
      </c>
      <c r="E207">
        <v>235</v>
      </c>
      <c r="F207">
        <v>685</v>
      </c>
      <c r="G207">
        <f t="shared" si="3"/>
        <v>460</v>
      </c>
    </row>
    <row r="208" spans="1:7">
      <c r="A208" t="s">
        <v>206</v>
      </c>
      <c r="B208" t="s">
        <v>261</v>
      </c>
      <c r="C208" t="s">
        <v>377</v>
      </c>
      <c r="D208" t="s">
        <v>266</v>
      </c>
      <c r="E208">
        <v>2383</v>
      </c>
      <c r="F208">
        <v>1736</v>
      </c>
      <c r="G208">
        <f t="shared" si="3"/>
        <v>2059.5</v>
      </c>
    </row>
    <row r="209" spans="1:7">
      <c r="A209" t="s">
        <v>172</v>
      </c>
      <c r="B209" t="s">
        <v>316</v>
      </c>
      <c r="C209" t="s">
        <v>377</v>
      </c>
      <c r="D209" t="s">
        <v>269</v>
      </c>
      <c r="E209">
        <v>7707</v>
      </c>
      <c r="F209">
        <v>8577</v>
      </c>
      <c r="G209">
        <f t="shared" si="3"/>
        <v>8142</v>
      </c>
    </row>
    <row r="210" spans="1:7">
      <c r="A210" t="s">
        <v>172</v>
      </c>
      <c r="B210" t="s">
        <v>263</v>
      </c>
      <c r="C210" s="108" t="s">
        <v>377</v>
      </c>
      <c r="D210" t="s">
        <v>269</v>
      </c>
      <c r="E210">
        <v>13465</v>
      </c>
      <c r="F210">
        <v>12770</v>
      </c>
      <c r="G210">
        <f t="shared" si="3"/>
        <v>13117.5</v>
      </c>
    </row>
    <row r="211" spans="1:7">
      <c r="A211" t="s">
        <v>168</v>
      </c>
      <c r="B211" t="s">
        <v>290</v>
      </c>
      <c r="C211" t="s">
        <v>376</v>
      </c>
      <c r="D211" t="s">
        <v>289</v>
      </c>
      <c r="E211">
        <v>3</v>
      </c>
      <c r="F211">
        <v>8</v>
      </c>
      <c r="G211">
        <f t="shared" si="3"/>
        <v>5.5</v>
      </c>
    </row>
    <row r="212" spans="1:7">
      <c r="A212" t="s">
        <v>168</v>
      </c>
      <c r="B212" t="s">
        <v>280</v>
      </c>
      <c r="C212" t="s">
        <v>376</v>
      </c>
      <c r="D212" t="s">
        <v>272</v>
      </c>
      <c r="E212">
        <v>315</v>
      </c>
      <c r="F212" t="s">
        <v>10</v>
      </c>
      <c r="G212">
        <f t="shared" si="3"/>
        <v>315</v>
      </c>
    </row>
    <row r="213" spans="1:7">
      <c r="A213" t="s">
        <v>168</v>
      </c>
      <c r="B213" t="s">
        <v>280</v>
      </c>
      <c r="C213" t="s">
        <v>376</v>
      </c>
      <c r="D213" t="s">
        <v>289</v>
      </c>
      <c r="E213">
        <v>21804</v>
      </c>
      <c r="F213">
        <v>24460</v>
      </c>
      <c r="G213">
        <f t="shared" si="3"/>
        <v>23132</v>
      </c>
    </row>
    <row r="214" spans="1:7">
      <c r="A214" t="s">
        <v>225</v>
      </c>
      <c r="B214" t="s">
        <v>263</v>
      </c>
      <c r="C214" s="108" t="s">
        <v>377</v>
      </c>
      <c r="D214" t="s">
        <v>260</v>
      </c>
      <c r="E214">
        <v>854</v>
      </c>
      <c r="F214">
        <v>952</v>
      </c>
      <c r="G214">
        <f t="shared" si="3"/>
        <v>903</v>
      </c>
    </row>
    <row r="215" spans="1:7">
      <c r="A215" t="s">
        <v>171</v>
      </c>
      <c r="B215" t="s">
        <v>305</v>
      </c>
      <c r="C215" t="s">
        <v>377</v>
      </c>
      <c r="D215" t="s">
        <v>260</v>
      </c>
      <c r="E215">
        <v>175</v>
      </c>
      <c r="F215">
        <v>182</v>
      </c>
      <c r="G215">
        <f t="shared" si="3"/>
        <v>178.5</v>
      </c>
    </row>
    <row r="216" spans="1:7">
      <c r="A216" t="s">
        <v>171</v>
      </c>
      <c r="B216" t="s">
        <v>261</v>
      </c>
      <c r="C216" t="s">
        <v>377</v>
      </c>
      <c r="D216" t="s">
        <v>260</v>
      </c>
      <c r="E216">
        <v>4184</v>
      </c>
      <c r="F216">
        <v>4111</v>
      </c>
      <c r="G216">
        <f t="shared" si="3"/>
        <v>4147.5</v>
      </c>
    </row>
    <row r="217" spans="1:7">
      <c r="A217" t="s">
        <v>171</v>
      </c>
      <c r="B217" t="s">
        <v>302</v>
      </c>
      <c r="C217" t="s">
        <v>377</v>
      </c>
      <c r="D217" t="s">
        <v>260</v>
      </c>
      <c r="E217">
        <v>6950</v>
      </c>
      <c r="F217">
        <v>6389</v>
      </c>
      <c r="G217">
        <f t="shared" si="3"/>
        <v>6669.5</v>
      </c>
    </row>
    <row r="218" spans="1:7">
      <c r="A218" t="s">
        <v>171</v>
      </c>
      <c r="B218" t="s">
        <v>338</v>
      </c>
      <c r="C218" t="s">
        <v>377</v>
      </c>
      <c r="D218" t="s">
        <v>260</v>
      </c>
      <c r="E218">
        <v>10581</v>
      </c>
      <c r="F218">
        <v>10273</v>
      </c>
      <c r="G218">
        <f t="shared" si="3"/>
        <v>10427</v>
      </c>
    </row>
    <row r="219" spans="1:7">
      <c r="A219" t="s">
        <v>337</v>
      </c>
      <c r="B219" t="s">
        <v>263</v>
      </c>
      <c r="C219" s="108" t="s">
        <v>377</v>
      </c>
      <c r="D219" t="s">
        <v>294</v>
      </c>
      <c r="E219">
        <v>118</v>
      </c>
      <c r="F219">
        <v>114</v>
      </c>
      <c r="G219">
        <f t="shared" si="3"/>
        <v>116</v>
      </c>
    </row>
    <row r="220" spans="1:7">
      <c r="A220" t="s">
        <v>203</v>
      </c>
      <c r="B220" t="s">
        <v>335</v>
      </c>
      <c r="C220" t="s">
        <v>377</v>
      </c>
      <c r="D220" t="s">
        <v>285</v>
      </c>
      <c r="E220">
        <v>1836</v>
      </c>
      <c r="F220">
        <v>471</v>
      </c>
      <c r="G220">
        <f t="shared" si="3"/>
        <v>1153.5</v>
      </c>
    </row>
    <row r="221" spans="1:7">
      <c r="A221" t="s">
        <v>203</v>
      </c>
      <c r="B221" t="s">
        <v>336</v>
      </c>
      <c r="C221" t="s">
        <v>377</v>
      </c>
      <c r="D221" t="s">
        <v>285</v>
      </c>
      <c r="E221">
        <v>831</v>
      </c>
      <c r="F221">
        <v>926</v>
      </c>
      <c r="G221">
        <f t="shared" si="3"/>
        <v>878.5</v>
      </c>
    </row>
    <row r="222" spans="1:7">
      <c r="A222" t="s">
        <v>203</v>
      </c>
      <c r="B222" t="s">
        <v>261</v>
      </c>
      <c r="C222" t="s">
        <v>377</v>
      </c>
      <c r="D222" t="s">
        <v>285</v>
      </c>
      <c r="E222">
        <v>2194</v>
      </c>
      <c r="F222">
        <v>725</v>
      </c>
      <c r="G222">
        <f t="shared" si="3"/>
        <v>1459.5</v>
      </c>
    </row>
    <row r="223" spans="1:7">
      <c r="A223" t="s">
        <v>203</v>
      </c>
      <c r="B223" t="s">
        <v>263</v>
      </c>
      <c r="C223" s="108" t="s">
        <v>377</v>
      </c>
      <c r="D223" t="s">
        <v>285</v>
      </c>
      <c r="E223">
        <v>7</v>
      </c>
      <c r="F223" t="s">
        <v>10</v>
      </c>
      <c r="G223">
        <f t="shared" si="3"/>
        <v>7</v>
      </c>
    </row>
    <row r="224" spans="1:7">
      <c r="A224" t="s">
        <v>227</v>
      </c>
      <c r="B224" t="s">
        <v>302</v>
      </c>
      <c r="C224" t="s">
        <v>377</v>
      </c>
      <c r="D224" t="s">
        <v>262</v>
      </c>
      <c r="E224">
        <v>137</v>
      </c>
      <c r="F224">
        <v>65</v>
      </c>
      <c r="G224">
        <f t="shared" si="3"/>
        <v>101</v>
      </c>
    </row>
    <row r="225" spans="1:7">
      <c r="A225" t="s">
        <v>227</v>
      </c>
      <c r="B225" t="s">
        <v>305</v>
      </c>
      <c r="C225" t="s">
        <v>377</v>
      </c>
      <c r="D225" t="s">
        <v>262</v>
      </c>
      <c r="E225">
        <v>193</v>
      </c>
      <c r="F225">
        <v>145</v>
      </c>
      <c r="G225">
        <f t="shared" si="3"/>
        <v>169</v>
      </c>
    </row>
    <row r="226" spans="1:7">
      <c r="A226" t="s">
        <v>227</v>
      </c>
      <c r="B226" t="s">
        <v>304</v>
      </c>
      <c r="C226" t="s">
        <v>377</v>
      </c>
      <c r="D226" t="s">
        <v>262</v>
      </c>
      <c r="E226">
        <v>553</v>
      </c>
      <c r="F226">
        <v>296</v>
      </c>
      <c r="G226">
        <f t="shared" si="3"/>
        <v>424.5</v>
      </c>
    </row>
    <row r="227" spans="1:7">
      <c r="A227" t="s">
        <v>227</v>
      </c>
      <c r="B227" t="s">
        <v>263</v>
      </c>
      <c r="C227" s="108" t="s">
        <v>377</v>
      </c>
      <c r="D227" t="s">
        <v>262</v>
      </c>
      <c r="E227">
        <v>169</v>
      </c>
      <c r="F227">
        <v>84</v>
      </c>
      <c r="G227">
        <f t="shared" si="3"/>
        <v>126.5</v>
      </c>
    </row>
    <row r="228" spans="1:7">
      <c r="A228" t="s">
        <v>167</v>
      </c>
      <c r="B228" t="s">
        <v>261</v>
      </c>
      <c r="C228" t="s">
        <v>377</v>
      </c>
      <c r="D228" t="s">
        <v>334</v>
      </c>
      <c r="E228">
        <v>20337</v>
      </c>
      <c r="F228">
        <v>29221</v>
      </c>
      <c r="G228">
        <f t="shared" si="3"/>
        <v>24779</v>
      </c>
    </row>
    <row r="229" spans="1:7">
      <c r="A229" t="s">
        <v>163</v>
      </c>
      <c r="B229" t="s">
        <v>305</v>
      </c>
      <c r="C229" t="s">
        <v>377</v>
      </c>
      <c r="D229" t="s">
        <v>262</v>
      </c>
      <c r="E229">
        <v>891</v>
      </c>
      <c r="F229">
        <v>869</v>
      </c>
      <c r="G229">
        <f t="shared" si="3"/>
        <v>880</v>
      </c>
    </row>
    <row r="230" spans="1:7">
      <c r="A230" t="s">
        <v>163</v>
      </c>
      <c r="B230" t="s">
        <v>333</v>
      </c>
      <c r="C230" t="s">
        <v>377</v>
      </c>
      <c r="D230" t="s">
        <v>262</v>
      </c>
      <c r="E230">
        <v>1015</v>
      </c>
      <c r="F230">
        <v>992</v>
      </c>
      <c r="G230">
        <f t="shared" si="3"/>
        <v>1003.5</v>
      </c>
    </row>
    <row r="231" spans="1:7">
      <c r="A231" t="s">
        <v>163</v>
      </c>
      <c r="B231" t="s">
        <v>302</v>
      </c>
      <c r="C231" t="s">
        <v>377</v>
      </c>
      <c r="D231" t="s">
        <v>262</v>
      </c>
      <c r="E231">
        <v>9592</v>
      </c>
      <c r="F231">
        <v>9467</v>
      </c>
      <c r="G231">
        <f t="shared" si="3"/>
        <v>9529.5</v>
      </c>
    </row>
    <row r="232" spans="1:7">
      <c r="A232" t="s">
        <v>163</v>
      </c>
      <c r="B232" t="s">
        <v>261</v>
      </c>
      <c r="C232" t="s">
        <v>377</v>
      </c>
      <c r="D232" t="s">
        <v>262</v>
      </c>
      <c r="E232">
        <v>13370</v>
      </c>
      <c r="F232">
        <v>13260</v>
      </c>
      <c r="G232">
        <f t="shared" si="3"/>
        <v>13315</v>
      </c>
    </row>
    <row r="233" spans="1:7">
      <c r="A233" t="s">
        <v>163</v>
      </c>
      <c r="B233" t="s">
        <v>303</v>
      </c>
      <c r="C233" t="s">
        <v>375</v>
      </c>
      <c r="D233" t="s">
        <v>262</v>
      </c>
      <c r="E233">
        <v>15228</v>
      </c>
      <c r="F233">
        <v>18016</v>
      </c>
      <c r="G233">
        <f t="shared" si="3"/>
        <v>16622</v>
      </c>
    </row>
    <row r="234" spans="1:7">
      <c r="A234" t="s">
        <v>163</v>
      </c>
      <c r="B234" t="s">
        <v>263</v>
      </c>
      <c r="C234" s="108" t="s">
        <v>377</v>
      </c>
      <c r="D234" t="s">
        <v>265</v>
      </c>
      <c r="E234">
        <v>5793</v>
      </c>
      <c r="F234">
        <v>6340</v>
      </c>
      <c r="G234">
        <f t="shared" si="3"/>
        <v>6066.5</v>
      </c>
    </row>
    <row r="235" spans="1:7">
      <c r="A235" t="s">
        <v>210</v>
      </c>
      <c r="B235" t="s">
        <v>299</v>
      </c>
      <c r="C235" t="s">
        <v>377</v>
      </c>
      <c r="D235" t="s">
        <v>269</v>
      </c>
      <c r="E235">
        <v>1</v>
      </c>
      <c r="F235">
        <v>39</v>
      </c>
      <c r="G235">
        <f t="shared" si="3"/>
        <v>20</v>
      </c>
    </row>
    <row r="236" spans="1:7">
      <c r="A236" t="s">
        <v>210</v>
      </c>
      <c r="B236" t="s">
        <v>299</v>
      </c>
      <c r="C236" t="s">
        <v>377</v>
      </c>
      <c r="D236" t="s">
        <v>289</v>
      </c>
      <c r="E236">
        <v>40</v>
      </c>
      <c r="F236">
        <v>44</v>
      </c>
      <c r="G236">
        <f t="shared" si="3"/>
        <v>42</v>
      </c>
    </row>
    <row r="237" spans="1:7">
      <c r="A237" t="s">
        <v>210</v>
      </c>
      <c r="B237" t="s">
        <v>297</v>
      </c>
      <c r="C237" t="s">
        <v>377</v>
      </c>
      <c r="D237" t="s">
        <v>289</v>
      </c>
      <c r="E237" t="s">
        <v>10</v>
      </c>
      <c r="F237">
        <v>1</v>
      </c>
      <c r="G237">
        <f t="shared" si="3"/>
        <v>1</v>
      </c>
    </row>
    <row r="238" spans="1:7">
      <c r="A238" t="s">
        <v>210</v>
      </c>
      <c r="B238" t="s">
        <v>293</v>
      </c>
      <c r="C238" t="s">
        <v>377</v>
      </c>
      <c r="D238" t="s">
        <v>269</v>
      </c>
      <c r="E238">
        <v>152</v>
      </c>
      <c r="F238">
        <v>140</v>
      </c>
      <c r="G238">
        <f t="shared" si="3"/>
        <v>146</v>
      </c>
    </row>
    <row r="239" spans="1:7">
      <c r="A239" t="s">
        <v>210</v>
      </c>
      <c r="B239" t="s">
        <v>293</v>
      </c>
      <c r="C239" t="s">
        <v>377</v>
      </c>
      <c r="D239" t="s">
        <v>289</v>
      </c>
      <c r="E239">
        <v>918</v>
      </c>
      <c r="F239">
        <v>1295</v>
      </c>
      <c r="G239">
        <f t="shared" si="3"/>
        <v>1106.5</v>
      </c>
    </row>
    <row r="240" spans="1:7">
      <c r="A240" t="s">
        <v>210</v>
      </c>
      <c r="B240" t="s">
        <v>290</v>
      </c>
      <c r="C240" t="s">
        <v>376</v>
      </c>
      <c r="D240" t="s">
        <v>289</v>
      </c>
      <c r="E240">
        <v>1</v>
      </c>
      <c r="F240">
        <v>1</v>
      </c>
      <c r="G240">
        <f t="shared" si="3"/>
        <v>1</v>
      </c>
    </row>
    <row r="241" spans="1:7">
      <c r="A241" t="s">
        <v>210</v>
      </c>
      <c r="B241" t="s">
        <v>280</v>
      </c>
      <c r="C241" t="s">
        <v>376</v>
      </c>
      <c r="D241" t="s">
        <v>272</v>
      </c>
      <c r="E241">
        <v>15</v>
      </c>
      <c r="F241" t="s">
        <v>10</v>
      </c>
      <c r="G241">
        <f t="shared" si="3"/>
        <v>15</v>
      </c>
    </row>
    <row r="242" spans="1:7">
      <c r="A242" t="s">
        <v>210</v>
      </c>
      <c r="B242" t="s">
        <v>320</v>
      </c>
      <c r="C242" t="s">
        <v>377</v>
      </c>
      <c r="D242" t="s">
        <v>260</v>
      </c>
      <c r="E242" t="s">
        <v>10</v>
      </c>
      <c r="F242">
        <v>44</v>
      </c>
      <c r="G242">
        <f t="shared" si="3"/>
        <v>44</v>
      </c>
    </row>
    <row r="243" spans="1:7">
      <c r="A243" t="s">
        <v>210</v>
      </c>
      <c r="B243" t="s">
        <v>280</v>
      </c>
      <c r="C243" t="s">
        <v>376</v>
      </c>
      <c r="D243" t="s">
        <v>289</v>
      </c>
      <c r="E243" t="s">
        <v>10</v>
      </c>
      <c r="F243">
        <v>76</v>
      </c>
      <c r="G243">
        <f t="shared" si="3"/>
        <v>76</v>
      </c>
    </row>
    <row r="244" spans="1:7">
      <c r="A244" t="s">
        <v>210</v>
      </c>
      <c r="B244" t="s">
        <v>316</v>
      </c>
      <c r="C244" t="s">
        <v>377</v>
      </c>
      <c r="D244" t="s">
        <v>269</v>
      </c>
      <c r="E244">
        <v>63</v>
      </c>
      <c r="F244">
        <v>90</v>
      </c>
      <c r="G244">
        <f t="shared" si="3"/>
        <v>76.5</v>
      </c>
    </row>
    <row r="245" spans="1:7">
      <c r="A245" t="s">
        <v>210</v>
      </c>
      <c r="B245" t="s">
        <v>263</v>
      </c>
      <c r="C245" s="108" t="s">
        <v>377</v>
      </c>
      <c r="D245" t="s">
        <v>260</v>
      </c>
      <c r="E245" t="s">
        <v>10</v>
      </c>
      <c r="F245">
        <v>3</v>
      </c>
      <c r="G245">
        <f t="shared" si="3"/>
        <v>3</v>
      </c>
    </row>
    <row r="246" spans="1:7">
      <c r="A246" t="s">
        <v>210</v>
      </c>
      <c r="B246" t="s">
        <v>263</v>
      </c>
      <c r="C246" s="108" t="s">
        <v>377</v>
      </c>
      <c r="D246" t="s">
        <v>289</v>
      </c>
      <c r="E246">
        <v>26</v>
      </c>
      <c r="F246">
        <v>35</v>
      </c>
      <c r="G246">
        <f t="shared" si="3"/>
        <v>30.5</v>
      </c>
    </row>
    <row r="247" spans="1:7">
      <c r="A247" t="s">
        <v>210</v>
      </c>
      <c r="B247" t="s">
        <v>263</v>
      </c>
      <c r="C247" s="108" t="s">
        <v>377</v>
      </c>
      <c r="D247" t="s">
        <v>294</v>
      </c>
      <c r="E247">
        <v>83</v>
      </c>
      <c r="F247">
        <v>27</v>
      </c>
      <c r="G247">
        <f t="shared" si="3"/>
        <v>55</v>
      </c>
    </row>
    <row r="248" spans="1:7">
      <c r="A248" t="s">
        <v>210</v>
      </c>
      <c r="B248" t="s">
        <v>263</v>
      </c>
      <c r="C248" s="108" t="s">
        <v>377</v>
      </c>
      <c r="D248" t="s">
        <v>269</v>
      </c>
      <c r="E248">
        <v>110</v>
      </c>
      <c r="F248">
        <v>41</v>
      </c>
      <c r="G248">
        <f t="shared" si="3"/>
        <v>75.5</v>
      </c>
    </row>
    <row r="249" spans="1:7">
      <c r="A249" t="s">
        <v>210</v>
      </c>
      <c r="B249" t="s">
        <v>332</v>
      </c>
      <c r="C249" t="s">
        <v>376</v>
      </c>
      <c r="D249" t="s">
        <v>289</v>
      </c>
      <c r="E249">
        <v>51</v>
      </c>
      <c r="F249">
        <v>104</v>
      </c>
      <c r="G249">
        <f t="shared" si="3"/>
        <v>77.5</v>
      </c>
    </row>
    <row r="250" spans="1:7">
      <c r="A250" t="s">
        <v>210</v>
      </c>
      <c r="B250" t="s">
        <v>319</v>
      </c>
      <c r="C250" t="s">
        <v>377</v>
      </c>
      <c r="D250" t="s">
        <v>289</v>
      </c>
      <c r="E250">
        <v>73</v>
      </c>
      <c r="F250">
        <v>67</v>
      </c>
      <c r="G250">
        <f t="shared" si="3"/>
        <v>70</v>
      </c>
    </row>
    <row r="251" spans="1:7">
      <c r="A251" t="s">
        <v>210</v>
      </c>
      <c r="B251" t="s">
        <v>298</v>
      </c>
      <c r="C251" t="s">
        <v>377</v>
      </c>
      <c r="D251" t="s">
        <v>260</v>
      </c>
      <c r="E251" t="s">
        <v>10</v>
      </c>
      <c r="F251">
        <v>9</v>
      </c>
      <c r="G251">
        <f t="shared" si="3"/>
        <v>9</v>
      </c>
    </row>
    <row r="252" spans="1:7">
      <c r="A252" t="s">
        <v>326</v>
      </c>
      <c r="B252" t="s">
        <v>327</v>
      </c>
      <c r="C252" t="s">
        <v>376</v>
      </c>
      <c r="D252" t="s">
        <v>295</v>
      </c>
      <c r="E252">
        <v>649</v>
      </c>
      <c r="F252">
        <v>489</v>
      </c>
      <c r="G252">
        <f t="shared" si="3"/>
        <v>569</v>
      </c>
    </row>
    <row r="253" spans="1:7">
      <c r="A253" t="s">
        <v>326</v>
      </c>
      <c r="B253" t="s">
        <v>328</v>
      </c>
      <c r="C253" t="s">
        <v>376</v>
      </c>
      <c r="D253" t="s">
        <v>295</v>
      </c>
      <c r="E253">
        <v>26</v>
      </c>
      <c r="F253">
        <v>18</v>
      </c>
      <c r="G253">
        <f t="shared" si="3"/>
        <v>22</v>
      </c>
    </row>
    <row r="254" spans="1:7">
      <c r="A254" t="s">
        <v>326</v>
      </c>
      <c r="B254" t="s">
        <v>329</v>
      </c>
      <c r="C254" t="s">
        <v>376</v>
      </c>
      <c r="D254" t="s">
        <v>295</v>
      </c>
      <c r="E254">
        <v>26</v>
      </c>
      <c r="F254">
        <v>17</v>
      </c>
      <c r="G254">
        <f t="shared" si="3"/>
        <v>21.5</v>
      </c>
    </row>
    <row r="255" spans="1:7">
      <c r="A255" t="s">
        <v>326</v>
      </c>
      <c r="B255" t="s">
        <v>330</v>
      </c>
      <c r="C255" t="s">
        <v>376</v>
      </c>
      <c r="D255" t="s">
        <v>295</v>
      </c>
      <c r="E255">
        <v>4</v>
      </c>
      <c r="F255" t="s">
        <v>10</v>
      </c>
      <c r="G255">
        <f t="shared" si="3"/>
        <v>4</v>
      </c>
    </row>
    <row r="256" spans="1:7">
      <c r="A256" t="s">
        <v>326</v>
      </c>
      <c r="B256" t="s">
        <v>280</v>
      </c>
      <c r="C256" t="s">
        <v>376</v>
      </c>
      <c r="D256" t="s">
        <v>289</v>
      </c>
      <c r="E256" t="s">
        <v>10</v>
      </c>
      <c r="F256">
        <v>1</v>
      </c>
      <c r="G256">
        <f t="shared" si="3"/>
        <v>1</v>
      </c>
    </row>
    <row r="257" spans="1:7">
      <c r="A257" t="s">
        <v>326</v>
      </c>
      <c r="B257" t="s">
        <v>280</v>
      </c>
      <c r="C257" t="s">
        <v>376</v>
      </c>
      <c r="D257" t="s">
        <v>272</v>
      </c>
      <c r="E257">
        <v>35</v>
      </c>
      <c r="F257" t="s">
        <v>10</v>
      </c>
      <c r="G257">
        <f t="shared" si="3"/>
        <v>35</v>
      </c>
    </row>
    <row r="258" spans="1:7">
      <c r="A258" t="s">
        <v>326</v>
      </c>
      <c r="B258" t="s">
        <v>280</v>
      </c>
      <c r="C258" t="s">
        <v>376</v>
      </c>
      <c r="D258" t="s">
        <v>295</v>
      </c>
      <c r="E258">
        <v>9030</v>
      </c>
      <c r="F258">
        <v>8786</v>
      </c>
      <c r="G258">
        <f t="shared" si="3"/>
        <v>8908</v>
      </c>
    </row>
    <row r="259" spans="1:7">
      <c r="A259" t="s">
        <v>326</v>
      </c>
      <c r="B259" t="s">
        <v>263</v>
      </c>
      <c r="C259" s="108" t="s">
        <v>376</v>
      </c>
      <c r="D259" t="s">
        <v>295</v>
      </c>
      <c r="E259">
        <v>17</v>
      </c>
      <c r="F259">
        <v>22</v>
      </c>
      <c r="G259">
        <f t="shared" si="3"/>
        <v>19.5</v>
      </c>
    </row>
    <row r="260" spans="1:7">
      <c r="A260" t="s">
        <v>326</v>
      </c>
      <c r="B260" t="s">
        <v>331</v>
      </c>
      <c r="C260" t="s">
        <v>376</v>
      </c>
      <c r="D260" t="s">
        <v>295</v>
      </c>
      <c r="E260">
        <v>2</v>
      </c>
      <c r="F260">
        <v>2</v>
      </c>
      <c r="G260">
        <f t="shared" si="3"/>
        <v>2</v>
      </c>
    </row>
    <row r="261" spans="1:7">
      <c r="A261" t="s">
        <v>325</v>
      </c>
      <c r="B261" t="s">
        <v>263</v>
      </c>
      <c r="C261" s="108" t="s">
        <v>377</v>
      </c>
      <c r="D261" t="s">
        <v>260</v>
      </c>
      <c r="E261">
        <v>4</v>
      </c>
      <c r="F261" t="s">
        <v>10</v>
      </c>
      <c r="G261">
        <f t="shared" ref="G261:G324" si="4">AVERAGE(E261:F261)</f>
        <v>4</v>
      </c>
    </row>
    <row r="262" spans="1:7">
      <c r="A262" t="s">
        <v>187</v>
      </c>
      <c r="B262" t="s">
        <v>261</v>
      </c>
      <c r="C262" t="s">
        <v>377</v>
      </c>
      <c r="D262" t="s">
        <v>260</v>
      </c>
      <c r="E262">
        <v>30</v>
      </c>
      <c r="F262">
        <v>25</v>
      </c>
      <c r="G262">
        <f t="shared" si="4"/>
        <v>27.5</v>
      </c>
    </row>
    <row r="263" spans="1:7">
      <c r="A263" t="s">
        <v>187</v>
      </c>
      <c r="B263" t="s">
        <v>306</v>
      </c>
      <c r="C263" t="s">
        <v>377</v>
      </c>
      <c r="D263" t="s">
        <v>260</v>
      </c>
      <c r="E263">
        <v>7571</v>
      </c>
      <c r="F263">
        <v>6354</v>
      </c>
      <c r="G263">
        <f t="shared" si="4"/>
        <v>6962.5</v>
      </c>
    </row>
    <row r="264" spans="1:7">
      <c r="A264" t="s">
        <v>187</v>
      </c>
      <c r="B264" t="s">
        <v>298</v>
      </c>
      <c r="C264" t="s">
        <v>377</v>
      </c>
      <c r="D264" t="s">
        <v>260</v>
      </c>
      <c r="E264">
        <v>2505</v>
      </c>
      <c r="F264">
        <v>514</v>
      </c>
      <c r="G264">
        <f t="shared" si="4"/>
        <v>1509.5</v>
      </c>
    </row>
    <row r="265" spans="1:7">
      <c r="A265" t="s">
        <v>205</v>
      </c>
      <c r="B265" t="s">
        <v>293</v>
      </c>
      <c r="C265" t="s">
        <v>377</v>
      </c>
      <c r="D265" t="s">
        <v>269</v>
      </c>
      <c r="E265">
        <v>25</v>
      </c>
      <c r="F265">
        <v>23</v>
      </c>
      <c r="G265">
        <f t="shared" si="4"/>
        <v>24</v>
      </c>
    </row>
    <row r="266" spans="1:7">
      <c r="A266" t="s">
        <v>205</v>
      </c>
      <c r="B266" t="s">
        <v>261</v>
      </c>
      <c r="C266" t="s">
        <v>377</v>
      </c>
      <c r="D266" t="s">
        <v>324</v>
      </c>
      <c r="E266">
        <v>386</v>
      </c>
      <c r="F266">
        <v>526</v>
      </c>
      <c r="G266">
        <f t="shared" si="4"/>
        <v>456</v>
      </c>
    </row>
    <row r="267" spans="1:7">
      <c r="A267" t="s">
        <v>205</v>
      </c>
      <c r="B267" t="s">
        <v>316</v>
      </c>
      <c r="C267" t="s">
        <v>377</v>
      </c>
      <c r="D267" t="s">
        <v>269</v>
      </c>
      <c r="E267">
        <v>1495</v>
      </c>
      <c r="F267">
        <v>2634</v>
      </c>
      <c r="G267">
        <f t="shared" si="4"/>
        <v>2064.5</v>
      </c>
    </row>
    <row r="268" spans="1:7">
      <c r="A268" t="s">
        <v>205</v>
      </c>
      <c r="B268" t="s">
        <v>263</v>
      </c>
      <c r="C268" s="108" t="s">
        <v>377</v>
      </c>
      <c r="D268" t="s">
        <v>269</v>
      </c>
      <c r="E268">
        <v>1</v>
      </c>
      <c r="F268">
        <v>48</v>
      </c>
      <c r="G268">
        <f t="shared" si="4"/>
        <v>24.5</v>
      </c>
    </row>
    <row r="269" spans="1:7">
      <c r="A269" t="s">
        <v>222</v>
      </c>
      <c r="B269" t="s">
        <v>261</v>
      </c>
      <c r="C269" t="s">
        <v>377</v>
      </c>
      <c r="D269" t="s">
        <v>269</v>
      </c>
      <c r="E269">
        <v>1020</v>
      </c>
      <c r="F269">
        <v>1020</v>
      </c>
      <c r="G269">
        <f t="shared" si="4"/>
        <v>1020</v>
      </c>
    </row>
    <row r="270" spans="1:7">
      <c r="A270" t="s">
        <v>240</v>
      </c>
      <c r="B270" t="s">
        <v>263</v>
      </c>
      <c r="C270" s="108" t="s">
        <v>377</v>
      </c>
      <c r="D270" t="s">
        <v>262</v>
      </c>
      <c r="E270">
        <v>189</v>
      </c>
      <c r="F270">
        <v>176</v>
      </c>
      <c r="G270">
        <f t="shared" si="4"/>
        <v>182.5</v>
      </c>
    </row>
    <row r="271" spans="1:7">
      <c r="A271" t="s">
        <v>255</v>
      </c>
      <c r="B271" t="s">
        <v>304</v>
      </c>
      <c r="C271" t="s">
        <v>377</v>
      </c>
      <c r="D271" t="s">
        <v>262</v>
      </c>
      <c r="E271">
        <v>15</v>
      </c>
      <c r="F271">
        <v>15</v>
      </c>
      <c r="G271">
        <f t="shared" si="4"/>
        <v>15</v>
      </c>
    </row>
    <row r="272" spans="1:7">
      <c r="A272" t="s">
        <v>245</v>
      </c>
      <c r="B272" t="s">
        <v>323</v>
      </c>
      <c r="C272" t="s">
        <v>377</v>
      </c>
      <c r="D272" t="s">
        <v>260</v>
      </c>
      <c r="E272">
        <v>16</v>
      </c>
      <c r="F272">
        <v>193</v>
      </c>
      <c r="G272">
        <f t="shared" si="4"/>
        <v>104.5</v>
      </c>
    </row>
    <row r="273" spans="1:7">
      <c r="A273" t="s">
        <v>194</v>
      </c>
      <c r="B273" t="s">
        <v>299</v>
      </c>
      <c r="C273" t="s">
        <v>377</v>
      </c>
      <c r="D273" t="s">
        <v>294</v>
      </c>
      <c r="E273">
        <v>1058</v>
      </c>
      <c r="F273">
        <v>1100</v>
      </c>
      <c r="G273">
        <f t="shared" si="4"/>
        <v>1079</v>
      </c>
    </row>
    <row r="274" spans="1:7">
      <c r="A274" t="s">
        <v>194</v>
      </c>
      <c r="B274" t="s">
        <v>297</v>
      </c>
      <c r="C274" t="s">
        <v>377</v>
      </c>
      <c r="D274" t="s">
        <v>294</v>
      </c>
      <c r="E274">
        <v>135</v>
      </c>
      <c r="F274">
        <v>110</v>
      </c>
      <c r="G274">
        <f t="shared" si="4"/>
        <v>122.5</v>
      </c>
    </row>
    <row r="275" spans="1:7">
      <c r="A275" t="s">
        <v>194</v>
      </c>
      <c r="B275" t="s">
        <v>293</v>
      </c>
      <c r="C275" t="s">
        <v>377</v>
      </c>
      <c r="D275" t="s">
        <v>318</v>
      </c>
      <c r="E275">
        <v>26</v>
      </c>
      <c r="F275">
        <v>46</v>
      </c>
      <c r="G275">
        <f t="shared" si="4"/>
        <v>36</v>
      </c>
    </row>
    <row r="276" spans="1:7">
      <c r="A276" t="s">
        <v>194</v>
      </c>
      <c r="B276" t="s">
        <v>293</v>
      </c>
      <c r="C276" t="s">
        <v>377</v>
      </c>
      <c r="D276" t="s">
        <v>294</v>
      </c>
      <c r="E276">
        <v>245</v>
      </c>
      <c r="F276">
        <v>269</v>
      </c>
      <c r="G276">
        <f t="shared" si="4"/>
        <v>257</v>
      </c>
    </row>
    <row r="277" spans="1:7">
      <c r="A277" t="s">
        <v>194</v>
      </c>
      <c r="B277" t="s">
        <v>293</v>
      </c>
      <c r="C277" t="s">
        <v>377</v>
      </c>
      <c r="D277" t="s">
        <v>289</v>
      </c>
      <c r="E277">
        <v>1217</v>
      </c>
      <c r="F277">
        <v>1990</v>
      </c>
      <c r="G277">
        <f t="shared" si="4"/>
        <v>1603.5</v>
      </c>
    </row>
    <row r="278" spans="1:7">
      <c r="A278" t="s">
        <v>194</v>
      </c>
      <c r="B278" t="s">
        <v>293</v>
      </c>
      <c r="C278" t="s">
        <v>377</v>
      </c>
      <c r="D278" t="s">
        <v>269</v>
      </c>
      <c r="E278">
        <v>1502</v>
      </c>
      <c r="F278">
        <v>2430</v>
      </c>
      <c r="G278">
        <f t="shared" si="4"/>
        <v>1966</v>
      </c>
    </row>
    <row r="279" spans="1:7">
      <c r="A279" t="s">
        <v>194</v>
      </c>
      <c r="B279" t="s">
        <v>321</v>
      </c>
      <c r="C279" t="s">
        <v>377</v>
      </c>
      <c r="D279" t="s">
        <v>294</v>
      </c>
      <c r="E279">
        <v>52</v>
      </c>
      <c r="F279">
        <v>49</v>
      </c>
      <c r="G279">
        <f t="shared" si="4"/>
        <v>50.5</v>
      </c>
    </row>
    <row r="280" spans="1:7">
      <c r="A280" t="s">
        <v>194</v>
      </c>
      <c r="B280" t="s">
        <v>290</v>
      </c>
      <c r="C280" t="s">
        <v>376</v>
      </c>
      <c r="D280" t="s">
        <v>289</v>
      </c>
      <c r="E280">
        <v>2</v>
      </c>
      <c r="F280">
        <v>2</v>
      </c>
      <c r="G280">
        <f t="shared" si="4"/>
        <v>2</v>
      </c>
    </row>
    <row r="281" spans="1:7">
      <c r="A281" t="s">
        <v>194</v>
      </c>
      <c r="B281" t="s">
        <v>263</v>
      </c>
      <c r="C281" s="108" t="s">
        <v>377</v>
      </c>
      <c r="D281" t="s">
        <v>270</v>
      </c>
      <c r="E281" t="s">
        <v>10</v>
      </c>
      <c r="F281">
        <v>4</v>
      </c>
      <c r="G281">
        <f t="shared" si="4"/>
        <v>4</v>
      </c>
    </row>
    <row r="282" spans="1:7">
      <c r="A282" t="s">
        <v>194</v>
      </c>
      <c r="B282" t="s">
        <v>280</v>
      </c>
      <c r="C282" t="s">
        <v>376</v>
      </c>
      <c r="D282" t="s">
        <v>289</v>
      </c>
      <c r="E282">
        <v>4</v>
      </c>
      <c r="F282">
        <v>15</v>
      </c>
      <c r="G282">
        <f t="shared" si="4"/>
        <v>9.5</v>
      </c>
    </row>
    <row r="283" spans="1:7">
      <c r="A283" t="s">
        <v>194</v>
      </c>
      <c r="B283" t="s">
        <v>292</v>
      </c>
      <c r="C283" t="s">
        <v>376</v>
      </c>
      <c r="D283" t="s">
        <v>294</v>
      </c>
      <c r="E283">
        <v>12</v>
      </c>
      <c r="F283">
        <v>15</v>
      </c>
      <c r="G283">
        <f t="shared" si="4"/>
        <v>13.5</v>
      </c>
    </row>
    <row r="284" spans="1:7">
      <c r="A284" t="s">
        <v>194</v>
      </c>
      <c r="B284" t="s">
        <v>290</v>
      </c>
      <c r="C284" t="s">
        <v>376</v>
      </c>
      <c r="D284" t="s">
        <v>294</v>
      </c>
      <c r="E284">
        <v>34</v>
      </c>
      <c r="F284">
        <v>20</v>
      </c>
      <c r="G284">
        <f t="shared" si="4"/>
        <v>27</v>
      </c>
    </row>
    <row r="285" spans="1:7">
      <c r="A285" t="s">
        <v>194</v>
      </c>
      <c r="B285" t="s">
        <v>263</v>
      </c>
      <c r="C285" s="108" t="s">
        <v>377</v>
      </c>
      <c r="D285" t="s">
        <v>289</v>
      </c>
      <c r="E285">
        <v>40</v>
      </c>
      <c r="F285">
        <v>27</v>
      </c>
      <c r="G285">
        <f t="shared" si="4"/>
        <v>33.5</v>
      </c>
    </row>
    <row r="286" spans="1:7">
      <c r="A286" t="s">
        <v>194</v>
      </c>
      <c r="B286" t="s">
        <v>263</v>
      </c>
      <c r="C286" s="108" t="s">
        <v>377</v>
      </c>
      <c r="D286" t="s">
        <v>294</v>
      </c>
      <c r="E286">
        <v>357</v>
      </c>
      <c r="F286">
        <v>318</v>
      </c>
      <c r="G286">
        <f t="shared" si="4"/>
        <v>337.5</v>
      </c>
    </row>
    <row r="287" spans="1:7">
      <c r="A287" t="s">
        <v>194</v>
      </c>
      <c r="B287" t="s">
        <v>263</v>
      </c>
      <c r="C287" s="108" t="s">
        <v>377</v>
      </c>
      <c r="D287" t="s">
        <v>269</v>
      </c>
      <c r="E287">
        <v>1221</v>
      </c>
      <c r="F287">
        <v>1118</v>
      </c>
      <c r="G287">
        <f t="shared" si="4"/>
        <v>1169.5</v>
      </c>
    </row>
    <row r="288" spans="1:7">
      <c r="A288" t="s">
        <v>194</v>
      </c>
      <c r="B288" t="s">
        <v>292</v>
      </c>
      <c r="C288" t="s">
        <v>376</v>
      </c>
      <c r="D288" t="s">
        <v>289</v>
      </c>
      <c r="E288">
        <v>87</v>
      </c>
      <c r="F288">
        <v>91</v>
      </c>
      <c r="G288">
        <f t="shared" si="4"/>
        <v>89</v>
      </c>
    </row>
    <row r="289" spans="1:7">
      <c r="A289" t="s">
        <v>194</v>
      </c>
      <c r="B289" t="s">
        <v>261</v>
      </c>
      <c r="C289" t="s">
        <v>377</v>
      </c>
      <c r="D289" t="s">
        <v>289</v>
      </c>
      <c r="E289">
        <v>208</v>
      </c>
      <c r="F289">
        <v>196</v>
      </c>
      <c r="G289">
        <f t="shared" si="4"/>
        <v>202</v>
      </c>
    </row>
    <row r="290" spans="1:7">
      <c r="A290" t="s">
        <v>194</v>
      </c>
      <c r="B290" t="s">
        <v>280</v>
      </c>
      <c r="C290" t="s">
        <v>376</v>
      </c>
      <c r="D290" t="s">
        <v>272</v>
      </c>
      <c r="E290">
        <v>853</v>
      </c>
      <c r="F290">
        <v>292</v>
      </c>
      <c r="G290">
        <f t="shared" si="4"/>
        <v>572.5</v>
      </c>
    </row>
    <row r="291" spans="1:7">
      <c r="A291" t="s">
        <v>194</v>
      </c>
      <c r="B291" t="s">
        <v>319</v>
      </c>
      <c r="C291" t="s">
        <v>377</v>
      </c>
      <c r="D291" t="s">
        <v>269</v>
      </c>
      <c r="E291">
        <v>1</v>
      </c>
      <c r="F291">
        <v>1</v>
      </c>
      <c r="G291">
        <f t="shared" si="4"/>
        <v>1</v>
      </c>
    </row>
    <row r="292" spans="1:7">
      <c r="A292" t="s">
        <v>194</v>
      </c>
      <c r="B292" t="s">
        <v>322</v>
      </c>
      <c r="C292" t="s">
        <v>377</v>
      </c>
      <c r="D292" t="s">
        <v>318</v>
      </c>
      <c r="E292" t="s">
        <v>10</v>
      </c>
      <c r="F292">
        <v>6</v>
      </c>
      <c r="G292">
        <f t="shared" si="4"/>
        <v>6</v>
      </c>
    </row>
    <row r="293" spans="1:7">
      <c r="A293" t="s">
        <v>194</v>
      </c>
      <c r="B293" t="s">
        <v>322</v>
      </c>
      <c r="C293" t="s">
        <v>377</v>
      </c>
      <c r="D293" t="s">
        <v>269</v>
      </c>
      <c r="E293">
        <v>2</v>
      </c>
      <c r="F293">
        <v>11</v>
      </c>
      <c r="G293">
        <f t="shared" si="4"/>
        <v>6.5</v>
      </c>
    </row>
    <row r="294" spans="1:7">
      <c r="A294" t="s">
        <v>315</v>
      </c>
      <c r="B294" t="s">
        <v>280</v>
      </c>
      <c r="C294" t="s">
        <v>376</v>
      </c>
      <c r="D294" t="s">
        <v>272</v>
      </c>
      <c r="E294">
        <v>334</v>
      </c>
      <c r="F294" t="s">
        <v>10</v>
      </c>
      <c r="G294">
        <f t="shared" si="4"/>
        <v>334</v>
      </c>
    </row>
    <row r="295" spans="1:7">
      <c r="A295" t="s">
        <v>190</v>
      </c>
      <c r="B295" t="s">
        <v>261</v>
      </c>
      <c r="C295" t="s">
        <v>377</v>
      </c>
      <c r="D295" t="s">
        <v>266</v>
      </c>
      <c r="E295">
        <v>525</v>
      </c>
      <c r="F295">
        <v>500</v>
      </c>
      <c r="G295">
        <f t="shared" si="4"/>
        <v>512.5</v>
      </c>
    </row>
    <row r="296" spans="1:7">
      <c r="A296" t="s">
        <v>190</v>
      </c>
      <c r="B296" t="s">
        <v>283</v>
      </c>
      <c r="C296" t="s">
        <v>377</v>
      </c>
      <c r="D296" t="s">
        <v>266</v>
      </c>
      <c r="E296">
        <v>7600</v>
      </c>
      <c r="F296">
        <v>7600</v>
      </c>
      <c r="G296">
        <f t="shared" si="4"/>
        <v>7600</v>
      </c>
    </row>
    <row r="297" spans="1:7">
      <c r="A297" t="s">
        <v>215</v>
      </c>
      <c r="B297" t="s">
        <v>291</v>
      </c>
      <c r="C297" t="s">
        <v>376</v>
      </c>
      <c r="D297" t="s">
        <v>289</v>
      </c>
      <c r="E297">
        <v>9</v>
      </c>
      <c r="F297">
        <v>10</v>
      </c>
      <c r="G297">
        <f t="shared" si="4"/>
        <v>9.5</v>
      </c>
    </row>
    <row r="298" spans="1:7">
      <c r="A298" t="s">
        <v>215</v>
      </c>
      <c r="B298" t="s">
        <v>280</v>
      </c>
      <c r="C298" t="s">
        <v>376</v>
      </c>
      <c r="D298" t="s">
        <v>289</v>
      </c>
      <c r="E298">
        <v>1649</v>
      </c>
      <c r="F298">
        <v>1642</v>
      </c>
      <c r="G298">
        <f t="shared" si="4"/>
        <v>1645.5</v>
      </c>
    </row>
    <row r="299" spans="1:7">
      <c r="A299" t="s">
        <v>309</v>
      </c>
      <c r="B299" t="s">
        <v>310</v>
      </c>
      <c r="C299" t="s">
        <v>377</v>
      </c>
      <c r="D299" t="s">
        <v>295</v>
      </c>
      <c r="E299">
        <v>1750</v>
      </c>
      <c r="F299">
        <v>1636</v>
      </c>
      <c r="G299">
        <f t="shared" si="4"/>
        <v>1693</v>
      </c>
    </row>
    <row r="300" spans="1:7">
      <c r="A300" t="s">
        <v>309</v>
      </c>
      <c r="B300" t="s">
        <v>263</v>
      </c>
      <c r="C300" s="108" t="s">
        <v>377</v>
      </c>
      <c r="D300" t="s">
        <v>265</v>
      </c>
      <c r="E300">
        <v>10</v>
      </c>
      <c r="F300">
        <v>8</v>
      </c>
      <c r="G300">
        <f t="shared" si="4"/>
        <v>9</v>
      </c>
    </row>
    <row r="301" spans="1:7">
      <c r="A301" t="s">
        <v>309</v>
      </c>
      <c r="B301" t="s">
        <v>263</v>
      </c>
      <c r="C301" s="108" t="s">
        <v>377</v>
      </c>
      <c r="D301" t="s">
        <v>295</v>
      </c>
      <c r="E301">
        <v>7342</v>
      </c>
      <c r="F301">
        <v>8854</v>
      </c>
      <c r="G301">
        <f t="shared" si="4"/>
        <v>8098</v>
      </c>
    </row>
    <row r="302" spans="1:7">
      <c r="A302" t="s">
        <v>309</v>
      </c>
      <c r="B302" t="s">
        <v>305</v>
      </c>
      <c r="C302" t="s">
        <v>377</v>
      </c>
      <c r="D302" t="s">
        <v>295</v>
      </c>
      <c r="E302">
        <v>7</v>
      </c>
      <c r="F302">
        <v>7</v>
      </c>
      <c r="G302">
        <f t="shared" si="4"/>
        <v>7</v>
      </c>
    </row>
    <row r="303" spans="1:7">
      <c r="A303" t="s">
        <v>309</v>
      </c>
      <c r="B303" t="s">
        <v>302</v>
      </c>
      <c r="C303" t="s">
        <v>377</v>
      </c>
      <c r="D303" t="s">
        <v>295</v>
      </c>
      <c r="E303">
        <v>22</v>
      </c>
      <c r="F303">
        <v>8</v>
      </c>
      <c r="G303">
        <f t="shared" si="4"/>
        <v>15</v>
      </c>
    </row>
    <row r="304" spans="1:7">
      <c r="A304" t="s">
        <v>309</v>
      </c>
      <c r="B304" t="s">
        <v>311</v>
      </c>
      <c r="C304" t="s">
        <v>377</v>
      </c>
      <c r="D304" t="s">
        <v>295</v>
      </c>
      <c r="E304">
        <v>374</v>
      </c>
      <c r="F304">
        <v>758</v>
      </c>
      <c r="G304">
        <f t="shared" si="4"/>
        <v>566</v>
      </c>
    </row>
    <row r="305" spans="1:7">
      <c r="A305" t="s">
        <v>309</v>
      </c>
      <c r="B305" t="s">
        <v>312</v>
      </c>
      <c r="C305" t="s">
        <v>377</v>
      </c>
      <c r="D305" t="s">
        <v>295</v>
      </c>
      <c r="E305">
        <v>60</v>
      </c>
      <c r="F305">
        <v>55</v>
      </c>
      <c r="G305">
        <f t="shared" si="4"/>
        <v>57.5</v>
      </c>
    </row>
    <row r="306" spans="1:7">
      <c r="A306" t="s">
        <v>308</v>
      </c>
      <c r="B306" t="s">
        <v>261</v>
      </c>
      <c r="C306" t="s">
        <v>377</v>
      </c>
      <c r="D306" t="s">
        <v>260</v>
      </c>
      <c r="E306">
        <v>1463</v>
      </c>
      <c r="F306">
        <v>1405</v>
      </c>
      <c r="G306">
        <f t="shared" si="4"/>
        <v>1434</v>
      </c>
    </row>
    <row r="307" spans="1:7">
      <c r="A307" t="s">
        <v>162</v>
      </c>
      <c r="B307" t="s">
        <v>305</v>
      </c>
      <c r="C307" t="s">
        <v>377</v>
      </c>
      <c r="D307" t="s">
        <v>300</v>
      </c>
      <c r="E307">
        <v>682</v>
      </c>
      <c r="F307">
        <v>857</v>
      </c>
      <c r="G307">
        <f t="shared" si="4"/>
        <v>769.5</v>
      </c>
    </row>
    <row r="308" spans="1:7">
      <c r="A308" t="s">
        <v>162</v>
      </c>
      <c r="B308" t="s">
        <v>306</v>
      </c>
      <c r="C308" t="s">
        <v>377</v>
      </c>
      <c r="D308" t="s">
        <v>300</v>
      </c>
      <c r="E308">
        <v>907</v>
      </c>
      <c r="F308">
        <v>772</v>
      </c>
      <c r="G308">
        <f t="shared" si="4"/>
        <v>839.5</v>
      </c>
    </row>
    <row r="309" spans="1:7">
      <c r="A309" t="s">
        <v>162</v>
      </c>
      <c r="B309" t="s">
        <v>307</v>
      </c>
      <c r="C309" t="s">
        <v>377</v>
      </c>
      <c r="D309" t="s">
        <v>300</v>
      </c>
      <c r="E309">
        <v>792</v>
      </c>
      <c r="F309">
        <v>1101</v>
      </c>
      <c r="G309">
        <f t="shared" si="4"/>
        <v>946.5</v>
      </c>
    </row>
    <row r="310" spans="1:7">
      <c r="A310" t="s">
        <v>162</v>
      </c>
      <c r="B310" t="s">
        <v>307</v>
      </c>
      <c r="C310" t="s">
        <v>377</v>
      </c>
      <c r="D310" t="s">
        <v>262</v>
      </c>
      <c r="E310">
        <v>877</v>
      </c>
      <c r="F310">
        <v>1395</v>
      </c>
      <c r="G310">
        <f t="shared" si="4"/>
        <v>1136</v>
      </c>
    </row>
    <row r="311" spans="1:7">
      <c r="A311" t="s">
        <v>162</v>
      </c>
      <c r="B311" t="s">
        <v>306</v>
      </c>
      <c r="C311" t="s">
        <v>377</v>
      </c>
      <c r="D311" t="s">
        <v>262</v>
      </c>
      <c r="E311">
        <v>908</v>
      </c>
      <c r="F311">
        <v>1421</v>
      </c>
      <c r="G311">
        <f t="shared" si="4"/>
        <v>1164.5</v>
      </c>
    </row>
    <row r="312" spans="1:7">
      <c r="A312" t="s">
        <v>162</v>
      </c>
      <c r="B312" t="s">
        <v>303</v>
      </c>
      <c r="C312" t="s">
        <v>375</v>
      </c>
      <c r="D312" t="s">
        <v>300</v>
      </c>
      <c r="E312">
        <v>1711</v>
      </c>
      <c r="F312">
        <v>1175</v>
      </c>
      <c r="G312">
        <f t="shared" si="4"/>
        <v>1443</v>
      </c>
    </row>
    <row r="313" spans="1:7">
      <c r="A313" t="s">
        <v>162</v>
      </c>
      <c r="B313" t="s">
        <v>305</v>
      </c>
      <c r="C313" t="s">
        <v>377</v>
      </c>
      <c r="D313" t="s">
        <v>262</v>
      </c>
      <c r="E313">
        <v>1366</v>
      </c>
      <c r="F313">
        <v>1741</v>
      </c>
      <c r="G313">
        <f t="shared" si="4"/>
        <v>1553.5</v>
      </c>
    </row>
    <row r="314" spans="1:7">
      <c r="A314" t="s">
        <v>162</v>
      </c>
      <c r="B314" t="s">
        <v>302</v>
      </c>
      <c r="C314" t="s">
        <v>377</v>
      </c>
      <c r="D314" t="s">
        <v>300</v>
      </c>
      <c r="E314">
        <v>3284</v>
      </c>
      <c r="F314">
        <v>2709</v>
      </c>
      <c r="G314">
        <f t="shared" si="4"/>
        <v>2996.5</v>
      </c>
    </row>
    <row r="315" spans="1:7">
      <c r="A315" t="s">
        <v>162</v>
      </c>
      <c r="B315" t="s">
        <v>304</v>
      </c>
      <c r="C315" t="s">
        <v>377</v>
      </c>
      <c r="D315" t="s">
        <v>300</v>
      </c>
      <c r="E315">
        <v>3188</v>
      </c>
      <c r="F315">
        <v>3580</v>
      </c>
      <c r="G315">
        <f t="shared" si="4"/>
        <v>3384</v>
      </c>
    </row>
    <row r="316" spans="1:7">
      <c r="A316" t="s">
        <v>162</v>
      </c>
      <c r="B316" t="s">
        <v>261</v>
      </c>
      <c r="C316" t="s">
        <v>377</v>
      </c>
      <c r="D316" t="s">
        <v>300</v>
      </c>
      <c r="E316">
        <v>4243</v>
      </c>
      <c r="F316">
        <v>4489</v>
      </c>
      <c r="G316">
        <f t="shared" si="4"/>
        <v>4366</v>
      </c>
    </row>
    <row r="317" spans="1:7">
      <c r="A317" t="s">
        <v>162</v>
      </c>
      <c r="B317" t="s">
        <v>304</v>
      </c>
      <c r="C317" t="s">
        <v>377</v>
      </c>
      <c r="D317" t="s">
        <v>262</v>
      </c>
      <c r="E317">
        <v>4603</v>
      </c>
      <c r="F317">
        <v>5771</v>
      </c>
      <c r="G317">
        <f t="shared" si="4"/>
        <v>5187</v>
      </c>
    </row>
    <row r="318" spans="1:7">
      <c r="A318" t="s">
        <v>162</v>
      </c>
      <c r="B318" t="s">
        <v>303</v>
      </c>
      <c r="C318" t="s">
        <v>375</v>
      </c>
      <c r="D318" t="s">
        <v>262</v>
      </c>
      <c r="E318">
        <v>5768</v>
      </c>
      <c r="F318">
        <v>6739</v>
      </c>
      <c r="G318">
        <f t="shared" si="4"/>
        <v>6253.5</v>
      </c>
    </row>
    <row r="319" spans="1:7">
      <c r="A319" t="s">
        <v>162</v>
      </c>
      <c r="B319" t="s">
        <v>302</v>
      </c>
      <c r="C319" t="s">
        <v>377</v>
      </c>
      <c r="D319" t="s">
        <v>262</v>
      </c>
      <c r="E319">
        <v>7115</v>
      </c>
      <c r="F319">
        <v>6495</v>
      </c>
      <c r="G319">
        <f t="shared" si="4"/>
        <v>6805</v>
      </c>
    </row>
    <row r="320" spans="1:7">
      <c r="A320" t="s">
        <v>162</v>
      </c>
      <c r="B320" t="s">
        <v>261</v>
      </c>
      <c r="C320" t="s">
        <v>377</v>
      </c>
      <c r="D320" t="s">
        <v>262</v>
      </c>
      <c r="E320">
        <v>17343</v>
      </c>
      <c r="F320">
        <v>16218</v>
      </c>
      <c r="G320">
        <f t="shared" si="4"/>
        <v>16780.5</v>
      </c>
    </row>
    <row r="321" spans="1:7">
      <c r="A321" t="s">
        <v>301</v>
      </c>
      <c r="B321" t="s">
        <v>263</v>
      </c>
      <c r="C321" s="108" t="s">
        <v>377</v>
      </c>
      <c r="D321" t="s">
        <v>300</v>
      </c>
      <c r="E321">
        <v>20</v>
      </c>
      <c r="F321">
        <v>20</v>
      </c>
      <c r="G321">
        <f t="shared" si="4"/>
        <v>20</v>
      </c>
    </row>
    <row r="322" spans="1:7">
      <c r="A322" t="s">
        <v>259</v>
      </c>
      <c r="B322" t="s">
        <v>261</v>
      </c>
      <c r="C322" t="s">
        <v>377</v>
      </c>
      <c r="D322" t="s">
        <v>269</v>
      </c>
      <c r="E322" t="s">
        <v>10</v>
      </c>
      <c r="F322">
        <v>2</v>
      </c>
      <c r="G322">
        <f t="shared" si="4"/>
        <v>2</v>
      </c>
    </row>
    <row r="323" spans="1:7">
      <c r="A323" t="s">
        <v>226</v>
      </c>
      <c r="B323" t="s">
        <v>261</v>
      </c>
      <c r="C323" t="s">
        <v>377</v>
      </c>
      <c r="D323" t="s">
        <v>266</v>
      </c>
      <c r="E323">
        <v>879</v>
      </c>
      <c r="F323">
        <v>878</v>
      </c>
      <c r="G323">
        <f t="shared" si="4"/>
        <v>878.5</v>
      </c>
    </row>
    <row r="324" spans="1:7">
      <c r="A324" t="s">
        <v>200</v>
      </c>
      <c r="B324" t="s">
        <v>299</v>
      </c>
      <c r="C324" t="s">
        <v>377</v>
      </c>
      <c r="D324" t="s">
        <v>294</v>
      </c>
      <c r="E324">
        <v>32</v>
      </c>
      <c r="F324" t="s">
        <v>268</v>
      </c>
      <c r="G324">
        <f t="shared" si="4"/>
        <v>32</v>
      </c>
    </row>
    <row r="325" spans="1:7">
      <c r="A325" t="s">
        <v>200</v>
      </c>
      <c r="B325" t="s">
        <v>297</v>
      </c>
      <c r="C325" t="s">
        <v>377</v>
      </c>
      <c r="D325" t="s">
        <v>294</v>
      </c>
      <c r="E325">
        <v>1358</v>
      </c>
      <c r="F325">
        <v>2289</v>
      </c>
      <c r="G325">
        <f t="shared" ref="G325:G360" si="5">AVERAGE(E325:F325)</f>
        <v>1823.5</v>
      </c>
    </row>
    <row r="326" spans="1:7">
      <c r="A326" t="s">
        <v>200</v>
      </c>
      <c r="B326" t="s">
        <v>293</v>
      </c>
      <c r="C326" t="s">
        <v>377</v>
      </c>
      <c r="D326" t="s">
        <v>294</v>
      </c>
      <c r="E326">
        <v>1932</v>
      </c>
      <c r="F326">
        <v>1840</v>
      </c>
      <c r="G326">
        <f t="shared" si="5"/>
        <v>1886</v>
      </c>
    </row>
    <row r="327" spans="1:7">
      <c r="A327" t="s">
        <v>200</v>
      </c>
      <c r="B327" t="s">
        <v>298</v>
      </c>
      <c r="C327" t="s">
        <v>377</v>
      </c>
      <c r="D327" t="s">
        <v>294</v>
      </c>
      <c r="E327">
        <v>258</v>
      </c>
      <c r="F327" t="s">
        <v>268</v>
      </c>
      <c r="G327">
        <f t="shared" si="5"/>
        <v>258</v>
      </c>
    </row>
    <row r="328" spans="1:7">
      <c r="A328" t="s">
        <v>198</v>
      </c>
      <c r="B328" t="s">
        <v>297</v>
      </c>
      <c r="C328" t="s">
        <v>377</v>
      </c>
      <c r="D328" t="s">
        <v>294</v>
      </c>
      <c r="E328">
        <v>951</v>
      </c>
      <c r="F328">
        <v>643</v>
      </c>
      <c r="G328">
        <f t="shared" si="5"/>
        <v>797</v>
      </c>
    </row>
    <row r="329" spans="1:7">
      <c r="A329" t="s">
        <v>198</v>
      </c>
      <c r="B329" t="s">
        <v>293</v>
      </c>
      <c r="C329" t="s">
        <v>377</v>
      </c>
      <c r="D329" t="s">
        <v>294</v>
      </c>
      <c r="E329">
        <v>1413</v>
      </c>
      <c r="F329">
        <v>1482</v>
      </c>
      <c r="G329">
        <f t="shared" si="5"/>
        <v>1447.5</v>
      </c>
    </row>
    <row r="330" spans="1:7">
      <c r="A330" t="s">
        <v>198</v>
      </c>
      <c r="B330" t="s">
        <v>263</v>
      </c>
      <c r="C330" s="108" t="s">
        <v>377</v>
      </c>
      <c r="D330" t="s">
        <v>294</v>
      </c>
      <c r="E330">
        <v>2341</v>
      </c>
      <c r="F330">
        <v>2646</v>
      </c>
      <c r="G330">
        <f t="shared" si="5"/>
        <v>2493.5</v>
      </c>
    </row>
    <row r="331" spans="1:7">
      <c r="A331" t="s">
        <v>252</v>
      </c>
      <c r="B331" t="s">
        <v>296</v>
      </c>
      <c r="C331" t="s">
        <v>376</v>
      </c>
      <c r="D331" t="s">
        <v>294</v>
      </c>
      <c r="E331">
        <v>33</v>
      </c>
      <c r="F331">
        <v>34</v>
      </c>
      <c r="G331">
        <f t="shared" si="5"/>
        <v>33.5</v>
      </c>
    </row>
    <row r="332" spans="1:7">
      <c r="A332" t="s">
        <v>288</v>
      </c>
      <c r="B332" t="s">
        <v>263</v>
      </c>
      <c r="C332" s="108" t="s">
        <v>376</v>
      </c>
      <c r="D332" t="s">
        <v>289</v>
      </c>
      <c r="E332">
        <v>1</v>
      </c>
      <c r="F332">
        <v>0</v>
      </c>
      <c r="G332">
        <f t="shared" si="5"/>
        <v>0.5</v>
      </c>
    </row>
    <row r="333" spans="1:7">
      <c r="A333" t="s">
        <v>288</v>
      </c>
      <c r="B333" t="s">
        <v>280</v>
      </c>
      <c r="C333" t="s">
        <v>376</v>
      </c>
      <c r="D333" t="s">
        <v>289</v>
      </c>
      <c r="E333">
        <v>0</v>
      </c>
      <c r="F333">
        <v>0</v>
      </c>
      <c r="G333">
        <f t="shared" si="5"/>
        <v>0</v>
      </c>
    </row>
    <row r="334" spans="1:7">
      <c r="A334" t="s">
        <v>288</v>
      </c>
      <c r="B334" t="s">
        <v>292</v>
      </c>
      <c r="C334" t="s">
        <v>376</v>
      </c>
      <c r="D334" t="s">
        <v>289</v>
      </c>
      <c r="E334">
        <v>14</v>
      </c>
      <c r="F334">
        <v>19</v>
      </c>
      <c r="G334">
        <f t="shared" si="5"/>
        <v>16.5</v>
      </c>
    </row>
    <row r="335" spans="1:7">
      <c r="A335" t="s">
        <v>288</v>
      </c>
      <c r="B335" t="s">
        <v>291</v>
      </c>
      <c r="C335" t="s">
        <v>376</v>
      </c>
      <c r="D335" t="s">
        <v>289</v>
      </c>
      <c r="E335">
        <v>23</v>
      </c>
      <c r="F335">
        <v>47</v>
      </c>
      <c r="G335">
        <f t="shared" si="5"/>
        <v>35</v>
      </c>
    </row>
    <row r="336" spans="1:7">
      <c r="A336" t="s">
        <v>288</v>
      </c>
      <c r="B336" t="s">
        <v>290</v>
      </c>
      <c r="C336" t="s">
        <v>376</v>
      </c>
      <c r="D336" t="s">
        <v>289</v>
      </c>
      <c r="E336">
        <v>921</v>
      </c>
      <c r="F336">
        <v>379</v>
      </c>
      <c r="G336">
        <f t="shared" si="5"/>
        <v>650</v>
      </c>
    </row>
    <row r="337" spans="1:7">
      <c r="A337" t="s">
        <v>288</v>
      </c>
      <c r="B337" t="s">
        <v>280</v>
      </c>
      <c r="C337" t="s">
        <v>376</v>
      </c>
      <c r="D337" t="s">
        <v>272</v>
      </c>
      <c r="E337">
        <v>2843</v>
      </c>
      <c r="F337" t="s">
        <v>10</v>
      </c>
      <c r="G337">
        <f t="shared" si="5"/>
        <v>2843</v>
      </c>
    </row>
    <row r="338" spans="1:7">
      <c r="A338" t="s">
        <v>274</v>
      </c>
      <c r="B338" t="s">
        <v>263</v>
      </c>
      <c r="C338" s="108" t="s">
        <v>377</v>
      </c>
      <c r="D338" t="s">
        <v>285</v>
      </c>
      <c r="E338">
        <v>115</v>
      </c>
      <c r="F338">
        <v>159</v>
      </c>
      <c r="G338">
        <f t="shared" si="5"/>
        <v>137</v>
      </c>
    </row>
    <row r="339" spans="1:7">
      <c r="A339" t="s">
        <v>274</v>
      </c>
      <c r="B339" t="s">
        <v>263</v>
      </c>
      <c r="C339" s="108" t="s">
        <v>376</v>
      </c>
      <c r="D339" t="s">
        <v>278</v>
      </c>
      <c r="E339">
        <v>403</v>
      </c>
      <c r="F339">
        <v>569</v>
      </c>
      <c r="G339">
        <f t="shared" si="5"/>
        <v>486</v>
      </c>
    </row>
    <row r="340" spans="1:7">
      <c r="A340" t="s">
        <v>274</v>
      </c>
      <c r="B340" t="s">
        <v>263</v>
      </c>
      <c r="C340" s="108" t="s">
        <v>377</v>
      </c>
      <c r="D340" t="s">
        <v>266</v>
      </c>
      <c r="E340">
        <v>1363</v>
      </c>
      <c r="F340">
        <v>1598</v>
      </c>
      <c r="G340">
        <f t="shared" si="5"/>
        <v>1480.5</v>
      </c>
    </row>
    <row r="341" spans="1:7">
      <c r="A341" t="s">
        <v>274</v>
      </c>
      <c r="B341" t="s">
        <v>286</v>
      </c>
      <c r="C341" t="s">
        <v>377</v>
      </c>
      <c r="D341" t="s">
        <v>285</v>
      </c>
      <c r="E341">
        <v>92</v>
      </c>
      <c r="F341">
        <v>87</v>
      </c>
      <c r="G341">
        <f t="shared" si="5"/>
        <v>89.5</v>
      </c>
    </row>
    <row r="342" spans="1:7">
      <c r="A342" t="s">
        <v>274</v>
      </c>
      <c r="B342" t="s">
        <v>273</v>
      </c>
      <c r="C342" t="s">
        <v>377</v>
      </c>
      <c r="D342" t="s">
        <v>266</v>
      </c>
      <c r="E342">
        <v>805</v>
      </c>
      <c r="F342">
        <v>1771</v>
      </c>
      <c r="G342">
        <f t="shared" si="5"/>
        <v>1288</v>
      </c>
    </row>
    <row r="343" spans="1:7">
      <c r="A343" t="s">
        <v>274</v>
      </c>
      <c r="B343" t="s">
        <v>282</v>
      </c>
      <c r="C343" t="s">
        <v>377</v>
      </c>
      <c r="D343" t="s">
        <v>272</v>
      </c>
      <c r="E343">
        <v>6</v>
      </c>
      <c r="F343">
        <v>4</v>
      </c>
      <c r="G343">
        <f t="shared" si="5"/>
        <v>5</v>
      </c>
    </row>
    <row r="344" spans="1:7">
      <c r="A344" t="s">
        <v>274</v>
      </c>
      <c r="B344" t="s">
        <v>282</v>
      </c>
      <c r="C344" t="s">
        <v>377</v>
      </c>
      <c r="D344" t="s">
        <v>266</v>
      </c>
      <c r="E344">
        <v>323</v>
      </c>
      <c r="F344">
        <v>355</v>
      </c>
      <c r="G344">
        <f t="shared" si="5"/>
        <v>339</v>
      </c>
    </row>
    <row r="345" spans="1:7">
      <c r="A345" t="s">
        <v>274</v>
      </c>
      <c r="B345" t="s">
        <v>279</v>
      </c>
      <c r="C345" t="s">
        <v>376</v>
      </c>
      <c r="D345" t="s">
        <v>285</v>
      </c>
      <c r="E345" t="s">
        <v>10</v>
      </c>
      <c r="F345">
        <v>0</v>
      </c>
      <c r="G345">
        <f t="shared" si="5"/>
        <v>0</v>
      </c>
    </row>
    <row r="346" spans="1:7">
      <c r="A346" t="s">
        <v>274</v>
      </c>
      <c r="B346" t="s">
        <v>281</v>
      </c>
      <c r="C346" t="s">
        <v>377</v>
      </c>
      <c r="D346" t="s">
        <v>272</v>
      </c>
      <c r="E346">
        <v>1</v>
      </c>
      <c r="F346" t="s">
        <v>10</v>
      </c>
      <c r="G346">
        <f t="shared" si="5"/>
        <v>1</v>
      </c>
    </row>
    <row r="347" spans="1:7">
      <c r="A347" t="s">
        <v>274</v>
      </c>
      <c r="B347" t="s">
        <v>287</v>
      </c>
      <c r="C347" t="s">
        <v>376</v>
      </c>
      <c r="D347" t="s">
        <v>285</v>
      </c>
      <c r="E347">
        <v>24</v>
      </c>
      <c r="F347">
        <v>17</v>
      </c>
      <c r="G347">
        <f t="shared" si="5"/>
        <v>20.5</v>
      </c>
    </row>
    <row r="348" spans="1:7">
      <c r="A348" t="s">
        <v>274</v>
      </c>
      <c r="B348" t="s">
        <v>276</v>
      </c>
      <c r="C348" t="s">
        <v>377</v>
      </c>
      <c r="D348" t="s">
        <v>272</v>
      </c>
      <c r="E348">
        <v>123</v>
      </c>
      <c r="F348">
        <v>10</v>
      </c>
      <c r="G348">
        <f t="shared" si="5"/>
        <v>66.5</v>
      </c>
    </row>
    <row r="349" spans="1:7">
      <c r="A349" t="s">
        <v>274</v>
      </c>
      <c r="B349" t="s">
        <v>284</v>
      </c>
      <c r="C349" t="s">
        <v>376</v>
      </c>
      <c r="D349" t="s">
        <v>278</v>
      </c>
      <c r="E349">
        <v>197</v>
      </c>
      <c r="F349">
        <v>187</v>
      </c>
      <c r="G349">
        <f t="shared" si="5"/>
        <v>192</v>
      </c>
    </row>
    <row r="350" spans="1:7">
      <c r="A350" t="s">
        <v>274</v>
      </c>
      <c r="B350" t="s">
        <v>283</v>
      </c>
      <c r="C350" t="s">
        <v>377</v>
      </c>
      <c r="D350" t="s">
        <v>266</v>
      </c>
      <c r="E350">
        <v>490</v>
      </c>
      <c r="F350">
        <v>142</v>
      </c>
      <c r="G350">
        <f t="shared" si="5"/>
        <v>316</v>
      </c>
    </row>
    <row r="351" spans="1:7">
      <c r="A351" t="s">
        <v>274</v>
      </c>
      <c r="B351" t="s">
        <v>277</v>
      </c>
      <c r="C351" t="s">
        <v>377</v>
      </c>
      <c r="D351" t="s">
        <v>272</v>
      </c>
      <c r="E351">
        <v>860</v>
      </c>
      <c r="F351">
        <v>881</v>
      </c>
      <c r="G351">
        <f t="shared" si="5"/>
        <v>870.5</v>
      </c>
    </row>
    <row r="352" spans="1:7">
      <c r="A352" t="s">
        <v>274</v>
      </c>
      <c r="B352" t="s">
        <v>281</v>
      </c>
      <c r="C352" t="s">
        <v>377</v>
      </c>
      <c r="D352" t="s">
        <v>266</v>
      </c>
      <c r="E352">
        <v>4183</v>
      </c>
      <c r="F352">
        <v>3254</v>
      </c>
      <c r="G352">
        <f t="shared" si="5"/>
        <v>3718.5</v>
      </c>
    </row>
    <row r="353" spans="1:8">
      <c r="A353" t="s">
        <v>274</v>
      </c>
      <c r="B353" t="s">
        <v>280</v>
      </c>
      <c r="C353" t="s">
        <v>376</v>
      </c>
      <c r="D353" t="s">
        <v>272</v>
      </c>
      <c r="E353">
        <v>6053</v>
      </c>
      <c r="F353">
        <v>5209</v>
      </c>
      <c r="G353">
        <f t="shared" si="5"/>
        <v>5631</v>
      </c>
    </row>
    <row r="354" spans="1:8">
      <c r="A354" t="s">
        <v>274</v>
      </c>
      <c r="B354" t="s">
        <v>279</v>
      </c>
      <c r="C354" t="s">
        <v>376</v>
      </c>
      <c r="D354" t="s">
        <v>278</v>
      </c>
      <c r="E354">
        <v>20318</v>
      </c>
      <c r="F354">
        <v>29550</v>
      </c>
      <c r="G354">
        <f t="shared" si="5"/>
        <v>24934</v>
      </c>
    </row>
    <row r="355" spans="1:8">
      <c r="A355" t="s">
        <v>274</v>
      </c>
      <c r="B355" t="s">
        <v>277</v>
      </c>
      <c r="C355" t="s">
        <v>377</v>
      </c>
      <c r="D355" t="s">
        <v>266</v>
      </c>
      <c r="E355">
        <v>35420</v>
      </c>
      <c r="F355">
        <v>52609</v>
      </c>
      <c r="G355">
        <f t="shared" si="5"/>
        <v>44014.5</v>
      </c>
    </row>
    <row r="356" spans="1:8">
      <c r="A356" t="s">
        <v>274</v>
      </c>
      <c r="B356" t="s">
        <v>276</v>
      </c>
      <c r="C356" t="s">
        <v>377</v>
      </c>
      <c r="D356" t="s">
        <v>266</v>
      </c>
      <c r="E356">
        <v>46692</v>
      </c>
      <c r="F356">
        <v>45604</v>
      </c>
      <c r="G356">
        <f t="shared" si="5"/>
        <v>46148</v>
      </c>
    </row>
    <row r="357" spans="1:8">
      <c r="A357" t="s">
        <v>267</v>
      </c>
      <c r="B357" t="s">
        <v>261</v>
      </c>
      <c r="C357" t="s">
        <v>377</v>
      </c>
      <c r="D357" t="s">
        <v>266</v>
      </c>
      <c r="E357">
        <v>240</v>
      </c>
      <c r="F357">
        <v>200</v>
      </c>
      <c r="G357">
        <f t="shared" si="5"/>
        <v>220</v>
      </c>
    </row>
    <row r="358" spans="1:8">
      <c r="A358" t="s">
        <v>264</v>
      </c>
      <c r="B358" t="s">
        <v>263</v>
      </c>
      <c r="C358" t="s">
        <v>377</v>
      </c>
      <c r="D358" t="s">
        <v>265</v>
      </c>
      <c r="E358">
        <v>11800</v>
      </c>
      <c r="F358">
        <v>12200</v>
      </c>
      <c r="G358">
        <f t="shared" si="5"/>
        <v>12000</v>
      </c>
    </row>
    <row r="359" spans="1:8">
      <c r="A359" t="s">
        <v>264</v>
      </c>
      <c r="B359" t="s">
        <v>263</v>
      </c>
      <c r="C359" t="s">
        <v>377</v>
      </c>
      <c r="D359" t="s">
        <v>262</v>
      </c>
      <c r="E359">
        <v>137000</v>
      </c>
      <c r="F359">
        <v>144000</v>
      </c>
      <c r="G359">
        <f t="shared" si="5"/>
        <v>140500</v>
      </c>
    </row>
    <row r="360" spans="1:8">
      <c r="A360" t="s">
        <v>224</v>
      </c>
      <c r="B360" t="s">
        <v>261</v>
      </c>
      <c r="C360" t="s">
        <v>377</v>
      </c>
      <c r="D360" t="s">
        <v>260</v>
      </c>
      <c r="E360">
        <v>981</v>
      </c>
      <c r="F360">
        <v>993</v>
      </c>
      <c r="G360">
        <f t="shared" si="5"/>
        <v>987</v>
      </c>
    </row>
    <row r="363" spans="1:8">
      <c r="E363" s="12" t="s">
        <v>381</v>
      </c>
      <c r="G363" s="12">
        <v>3203324</v>
      </c>
    </row>
    <row r="365" spans="1:8">
      <c r="F365" s="12" t="s">
        <v>378</v>
      </c>
      <c r="G365" s="12">
        <v>2034714</v>
      </c>
      <c r="H365" s="109">
        <f>G365/G363</f>
        <v>0.63518832312934936</v>
      </c>
    </row>
    <row r="366" spans="1:8">
      <c r="F366" s="12" t="s">
        <v>379</v>
      </c>
      <c r="G366" s="12">
        <v>535537</v>
      </c>
      <c r="H366" s="109">
        <f>G366/G363</f>
        <v>0.16718165255840495</v>
      </c>
    </row>
    <row r="367" spans="1:8">
      <c r="F367" s="12" t="s">
        <v>380</v>
      </c>
      <c r="G367" s="12">
        <v>633074</v>
      </c>
      <c r="H367" s="109">
        <f>G367/G363</f>
        <v>0.19763033648797312</v>
      </c>
    </row>
  </sheetData>
  <autoFilter ref="A4:G360">
    <sortState ref="A4:G357">
      <sortCondition ref="A1:A357"/>
    </sortState>
  </autoFilter>
  <mergeCells count="1">
    <mergeCell ref="A1:G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workbookViewId="0"/>
  </sheetViews>
  <sheetFormatPr baseColWidth="10" defaultColWidth="11" defaultRowHeight="15" x14ac:dyDescent="0"/>
  <cols>
    <col min="1" max="1" width="4" customWidth="1"/>
    <col min="2" max="2" width="18.6640625" customWidth="1"/>
    <col min="3" max="3" width="17.33203125" customWidth="1"/>
    <col min="4" max="4" width="21.1640625" customWidth="1"/>
    <col min="6" max="6" width="11.5" bestFit="1" customWidth="1"/>
    <col min="9" max="9" width="23.33203125" customWidth="1"/>
    <col min="10" max="10" width="15" customWidth="1"/>
  </cols>
  <sheetData>
    <row r="1" spans="1:12">
      <c r="A1" s="137" t="s">
        <v>443</v>
      </c>
    </row>
    <row r="3" spans="1:12">
      <c r="A3" s="12" t="s">
        <v>144</v>
      </c>
      <c r="B3" s="12" t="s">
        <v>145</v>
      </c>
      <c r="C3" s="12" t="s">
        <v>146</v>
      </c>
      <c r="D3" s="12" t="s">
        <v>147</v>
      </c>
      <c r="H3" s="12" t="s">
        <v>145</v>
      </c>
      <c r="I3" s="100" t="s">
        <v>147</v>
      </c>
      <c r="J3" s="12" t="s">
        <v>411</v>
      </c>
    </row>
    <row r="4" spans="1:12">
      <c r="A4">
        <v>1</v>
      </c>
      <c r="B4" t="s">
        <v>148</v>
      </c>
      <c r="C4" t="s">
        <v>149</v>
      </c>
      <c r="D4" s="104">
        <v>1161822</v>
      </c>
      <c r="F4" s="106"/>
      <c r="H4" t="s">
        <v>148</v>
      </c>
      <c r="I4" s="104">
        <v>1161822</v>
      </c>
      <c r="J4" s="128">
        <f>I4/I15</f>
        <v>0.36273068655676161</v>
      </c>
    </row>
    <row r="5" spans="1:12">
      <c r="A5">
        <v>2</v>
      </c>
      <c r="B5" t="s">
        <v>150</v>
      </c>
      <c r="C5" t="s">
        <v>149</v>
      </c>
      <c r="D5" s="104">
        <v>343480</v>
      </c>
      <c r="H5" t="s">
        <v>150</v>
      </c>
      <c r="I5" s="104">
        <v>343480</v>
      </c>
      <c r="J5" s="128">
        <f>I5/I15</f>
        <v>0.10723737045650407</v>
      </c>
      <c r="L5" s="106"/>
    </row>
    <row r="6" spans="1:12">
      <c r="A6">
        <v>3</v>
      </c>
      <c r="B6" t="s">
        <v>151</v>
      </c>
      <c r="C6" t="s">
        <v>149</v>
      </c>
      <c r="D6" s="104">
        <v>239419</v>
      </c>
      <c r="F6" s="106"/>
      <c r="H6" t="s">
        <v>151</v>
      </c>
      <c r="I6" s="104">
        <v>239419</v>
      </c>
      <c r="J6" s="128">
        <f>I6/I15</f>
        <v>7.4748643290222863E-2</v>
      </c>
    </row>
    <row r="7" spans="1:12">
      <c r="A7">
        <v>4</v>
      </c>
      <c r="B7" t="s">
        <v>152</v>
      </c>
      <c r="C7" t="s">
        <v>153</v>
      </c>
      <c r="D7" s="104">
        <v>158023</v>
      </c>
      <c r="F7" s="106"/>
      <c r="H7" t="s">
        <v>152</v>
      </c>
      <c r="I7" s="104">
        <v>158023</v>
      </c>
      <c r="J7" s="128">
        <f>I7/I15</f>
        <v>4.9336121438360726E-2</v>
      </c>
    </row>
    <row r="8" spans="1:12">
      <c r="A8">
        <v>5</v>
      </c>
      <c r="B8" t="s">
        <v>154</v>
      </c>
      <c r="C8" t="s">
        <v>149</v>
      </c>
      <c r="D8" s="104">
        <v>152500</v>
      </c>
      <c r="H8" t="s">
        <v>154</v>
      </c>
      <c r="I8" s="104">
        <v>152500</v>
      </c>
      <c r="J8" s="128">
        <f>I8/I15</f>
        <v>4.7611793975244177E-2</v>
      </c>
    </row>
    <row r="9" spans="1:12">
      <c r="A9">
        <v>6</v>
      </c>
      <c r="B9" t="s">
        <v>155</v>
      </c>
      <c r="C9" t="s">
        <v>153</v>
      </c>
      <c r="D9" s="104">
        <v>129737.5</v>
      </c>
      <c r="F9" s="106"/>
      <c r="H9" t="s">
        <v>155</v>
      </c>
      <c r="I9" s="104">
        <v>129737.5</v>
      </c>
      <c r="J9" s="128">
        <f>I9/I15</f>
        <v>4.0505148333529452E-2</v>
      </c>
    </row>
    <row r="10" spans="1:12">
      <c r="A10">
        <v>7</v>
      </c>
      <c r="B10" t="s">
        <v>156</v>
      </c>
      <c r="C10" t="s">
        <v>157</v>
      </c>
      <c r="D10" s="104">
        <v>121019</v>
      </c>
      <c r="H10" t="s">
        <v>156</v>
      </c>
      <c r="I10" s="104">
        <v>121019</v>
      </c>
      <c r="J10" s="128">
        <f>I10/I15</f>
        <v>3.7783158656328364E-2</v>
      </c>
    </row>
    <row r="11" spans="1:12">
      <c r="A11">
        <v>8</v>
      </c>
      <c r="B11" t="s">
        <v>158</v>
      </c>
      <c r="C11" t="s">
        <v>149</v>
      </c>
      <c r="D11" s="104">
        <v>112565</v>
      </c>
      <c r="H11" t="s">
        <v>158</v>
      </c>
      <c r="I11" s="104">
        <v>112565</v>
      </c>
      <c r="J11" s="128">
        <f>I11/I15</f>
        <v>3.5143748123431878E-2</v>
      </c>
    </row>
    <row r="12" spans="1:12">
      <c r="A12">
        <v>9</v>
      </c>
      <c r="B12" t="s">
        <v>159</v>
      </c>
      <c r="C12" t="s">
        <v>160</v>
      </c>
      <c r="D12" s="104">
        <v>77650.5</v>
      </c>
      <c r="H12" t="s">
        <v>159</v>
      </c>
      <c r="I12" s="104">
        <v>77650.5</v>
      </c>
      <c r="J12" s="128">
        <f>I12/I15</f>
        <v>2.4243144970981626E-2</v>
      </c>
    </row>
    <row r="13" spans="1:12">
      <c r="A13">
        <v>10</v>
      </c>
      <c r="B13" t="s">
        <v>161</v>
      </c>
      <c r="C13" t="s">
        <v>153</v>
      </c>
      <c r="D13" s="104">
        <v>69819.899999999994</v>
      </c>
      <c r="H13" t="s">
        <v>161</v>
      </c>
      <c r="I13" s="104">
        <v>69819.899999999994</v>
      </c>
      <c r="J13" s="128">
        <f>I13/I15</f>
        <v>2.1798365207686233E-2</v>
      </c>
    </row>
    <row r="14" spans="1:12">
      <c r="A14">
        <v>11</v>
      </c>
      <c r="B14" t="s">
        <v>162</v>
      </c>
      <c r="C14" t="s">
        <v>149</v>
      </c>
      <c r="D14" s="104">
        <v>53625</v>
      </c>
      <c r="H14" t="s">
        <v>405</v>
      </c>
      <c r="I14" s="105">
        <f>SUM(D14:D107)</f>
        <v>636952</v>
      </c>
      <c r="J14" s="128">
        <f>I14/I15</f>
        <v>0.19886181899094904</v>
      </c>
    </row>
    <row r="15" spans="1:12">
      <c r="A15">
        <v>12</v>
      </c>
      <c r="B15" t="s">
        <v>163</v>
      </c>
      <c r="C15" t="s">
        <v>149</v>
      </c>
      <c r="D15" s="104">
        <v>47416.5</v>
      </c>
      <c r="I15" s="107">
        <f>SUM(I4:I14)</f>
        <v>3202987.9</v>
      </c>
    </row>
    <row r="16" spans="1:12">
      <c r="A16">
        <v>13</v>
      </c>
      <c r="B16" t="s">
        <v>164</v>
      </c>
      <c r="C16" t="s">
        <v>160</v>
      </c>
      <c r="D16" s="104">
        <v>42604.5</v>
      </c>
    </row>
    <row r="17" spans="1:4">
      <c r="A17">
        <v>14</v>
      </c>
      <c r="B17" t="s">
        <v>165</v>
      </c>
      <c r="C17" t="s">
        <v>149</v>
      </c>
      <c r="D17" s="104">
        <v>42000</v>
      </c>
    </row>
    <row r="18" spans="1:4">
      <c r="A18">
        <v>15</v>
      </c>
      <c r="B18" t="s">
        <v>166</v>
      </c>
      <c r="C18" t="s">
        <v>149</v>
      </c>
      <c r="D18" s="104">
        <v>30245</v>
      </c>
    </row>
    <row r="19" spans="1:4">
      <c r="A19">
        <v>16</v>
      </c>
      <c r="B19" t="s">
        <v>167</v>
      </c>
      <c r="C19" t="s">
        <v>160</v>
      </c>
      <c r="D19" s="104">
        <v>24779</v>
      </c>
    </row>
    <row r="20" spans="1:4">
      <c r="A20">
        <v>17</v>
      </c>
      <c r="B20" t="s">
        <v>168</v>
      </c>
      <c r="C20" t="s">
        <v>157</v>
      </c>
      <c r="D20" s="104">
        <v>23452.5</v>
      </c>
    </row>
    <row r="21" spans="1:4">
      <c r="A21">
        <v>18</v>
      </c>
      <c r="B21" t="s">
        <v>169</v>
      </c>
      <c r="C21" t="s">
        <v>170</v>
      </c>
      <c r="D21" s="104">
        <v>22436.5</v>
      </c>
    </row>
    <row r="22" spans="1:4">
      <c r="A22">
        <v>19</v>
      </c>
      <c r="B22" t="s">
        <v>171</v>
      </c>
      <c r="C22" t="s">
        <v>149</v>
      </c>
      <c r="D22" s="104">
        <v>21422.5</v>
      </c>
    </row>
    <row r="23" spans="1:4">
      <c r="A23">
        <v>20</v>
      </c>
      <c r="B23" t="s">
        <v>172</v>
      </c>
      <c r="C23" t="s">
        <v>173</v>
      </c>
      <c r="D23" s="104">
        <v>21259.5</v>
      </c>
    </row>
    <row r="24" spans="1:4">
      <c r="A24">
        <v>21</v>
      </c>
      <c r="B24" t="s">
        <v>174</v>
      </c>
      <c r="C24" t="s">
        <v>160</v>
      </c>
      <c r="D24" s="104">
        <v>19946.5</v>
      </c>
    </row>
    <row r="25" spans="1:4">
      <c r="A25">
        <v>22</v>
      </c>
      <c r="B25" t="s">
        <v>175</v>
      </c>
      <c r="C25" t="s">
        <v>157</v>
      </c>
      <c r="D25" s="104">
        <v>18481</v>
      </c>
    </row>
    <row r="26" spans="1:4">
      <c r="A26">
        <v>23</v>
      </c>
      <c r="B26" t="s">
        <v>176</v>
      </c>
      <c r="C26" t="s">
        <v>157</v>
      </c>
      <c r="D26" s="104">
        <v>18010</v>
      </c>
    </row>
    <row r="27" spans="1:4">
      <c r="A27">
        <v>24</v>
      </c>
      <c r="B27" t="s">
        <v>177</v>
      </c>
      <c r="C27" t="s">
        <v>149</v>
      </c>
      <c r="D27" s="104">
        <v>17840</v>
      </c>
    </row>
    <row r="28" spans="1:4">
      <c r="A28">
        <v>25</v>
      </c>
      <c r="B28" t="s">
        <v>178</v>
      </c>
      <c r="C28" t="s">
        <v>157</v>
      </c>
      <c r="D28" s="104">
        <v>14774.5</v>
      </c>
    </row>
    <row r="29" spans="1:4">
      <c r="A29">
        <v>26</v>
      </c>
      <c r="B29" t="s">
        <v>179</v>
      </c>
      <c r="C29" t="s">
        <v>173</v>
      </c>
      <c r="D29" s="104">
        <v>11845</v>
      </c>
    </row>
    <row r="30" spans="1:4">
      <c r="A30">
        <v>27</v>
      </c>
      <c r="B30" t="s">
        <v>180</v>
      </c>
      <c r="C30" t="s">
        <v>173</v>
      </c>
      <c r="D30" s="104">
        <v>11798.5</v>
      </c>
    </row>
    <row r="31" spans="1:4">
      <c r="A31">
        <v>28</v>
      </c>
      <c r="B31" t="s">
        <v>181</v>
      </c>
      <c r="C31" t="s">
        <v>173</v>
      </c>
      <c r="D31" s="104">
        <v>11350.5</v>
      </c>
    </row>
    <row r="32" spans="1:4">
      <c r="A32">
        <v>29</v>
      </c>
      <c r="B32" t="s">
        <v>182</v>
      </c>
      <c r="C32" t="s">
        <v>149</v>
      </c>
      <c r="D32" s="104">
        <v>10445.5</v>
      </c>
    </row>
    <row r="33" spans="1:4">
      <c r="A33">
        <v>30</v>
      </c>
      <c r="B33" t="s">
        <v>183</v>
      </c>
      <c r="C33" t="s">
        <v>157</v>
      </c>
      <c r="D33" s="104">
        <v>10336</v>
      </c>
    </row>
    <row r="34" spans="1:4">
      <c r="A34">
        <v>31</v>
      </c>
      <c r="B34" t="s">
        <v>184</v>
      </c>
      <c r="C34" t="s">
        <v>157</v>
      </c>
      <c r="D34" s="104">
        <v>9983</v>
      </c>
    </row>
    <row r="35" spans="1:4">
      <c r="A35">
        <v>32</v>
      </c>
      <c r="B35" t="s">
        <v>185</v>
      </c>
      <c r="C35" t="s">
        <v>157</v>
      </c>
      <c r="D35" s="104">
        <v>9582</v>
      </c>
    </row>
    <row r="36" spans="1:4">
      <c r="A36">
        <v>33</v>
      </c>
      <c r="B36" t="s">
        <v>186</v>
      </c>
      <c r="C36" t="s">
        <v>173</v>
      </c>
      <c r="D36" s="104">
        <v>9322</v>
      </c>
    </row>
    <row r="37" spans="1:4">
      <c r="A37">
        <v>34</v>
      </c>
      <c r="B37" t="s">
        <v>187</v>
      </c>
      <c r="C37" t="s">
        <v>188</v>
      </c>
      <c r="D37" s="104">
        <v>8499.5</v>
      </c>
    </row>
    <row r="38" spans="1:4">
      <c r="A38">
        <v>35</v>
      </c>
      <c r="B38" t="s">
        <v>189</v>
      </c>
      <c r="C38" t="s">
        <v>157</v>
      </c>
      <c r="D38" s="104">
        <v>8162.5</v>
      </c>
    </row>
    <row r="39" spans="1:4">
      <c r="A39">
        <v>36</v>
      </c>
      <c r="B39" t="s">
        <v>190</v>
      </c>
      <c r="C39" t="s">
        <v>160</v>
      </c>
      <c r="D39" s="104">
        <v>8112.5</v>
      </c>
    </row>
    <row r="40" spans="1:4">
      <c r="A40">
        <v>37</v>
      </c>
      <c r="B40" t="s">
        <v>191</v>
      </c>
      <c r="C40" t="s">
        <v>149</v>
      </c>
      <c r="D40" s="104">
        <v>8000</v>
      </c>
    </row>
    <row r="41" spans="1:4">
      <c r="A41">
        <v>38</v>
      </c>
      <c r="B41" t="s">
        <v>192</v>
      </c>
      <c r="C41" t="s">
        <v>193</v>
      </c>
      <c r="D41" s="104">
        <v>7699.5</v>
      </c>
    </row>
    <row r="42" spans="1:4">
      <c r="A42">
        <v>39</v>
      </c>
      <c r="B42" t="s">
        <v>194</v>
      </c>
      <c r="C42" t="s">
        <v>157</v>
      </c>
      <c r="D42" s="104">
        <v>7588</v>
      </c>
    </row>
    <row r="43" spans="1:4">
      <c r="A43">
        <v>40</v>
      </c>
      <c r="B43" t="s">
        <v>195</v>
      </c>
      <c r="C43" t="s">
        <v>188</v>
      </c>
      <c r="D43" s="104">
        <v>6532.5</v>
      </c>
    </row>
    <row r="44" spans="1:4">
      <c r="A44">
        <v>41</v>
      </c>
      <c r="B44" t="s">
        <v>196</v>
      </c>
      <c r="C44" t="s">
        <v>157</v>
      </c>
      <c r="D44" s="104">
        <v>5851.5</v>
      </c>
    </row>
    <row r="45" spans="1:4">
      <c r="A45">
        <v>42</v>
      </c>
      <c r="B45" t="s">
        <v>197</v>
      </c>
      <c r="C45" t="s">
        <v>173</v>
      </c>
      <c r="D45" s="104">
        <v>5394.5</v>
      </c>
    </row>
    <row r="46" spans="1:4">
      <c r="A46">
        <v>43</v>
      </c>
      <c r="B46" t="s">
        <v>198</v>
      </c>
      <c r="C46" t="s">
        <v>149</v>
      </c>
      <c r="D46" s="104">
        <v>4738</v>
      </c>
    </row>
    <row r="47" spans="1:4">
      <c r="A47">
        <v>44</v>
      </c>
      <c r="B47" t="s">
        <v>199</v>
      </c>
      <c r="C47" t="s">
        <v>160</v>
      </c>
      <c r="D47" s="104">
        <v>4713</v>
      </c>
    </row>
    <row r="48" spans="1:4">
      <c r="A48">
        <v>45</v>
      </c>
      <c r="B48" t="s">
        <v>200</v>
      </c>
      <c r="C48" t="s">
        <v>173</v>
      </c>
      <c r="D48" s="104">
        <v>3999.5</v>
      </c>
    </row>
    <row r="49" spans="1:4">
      <c r="A49">
        <v>46</v>
      </c>
      <c r="B49" t="s">
        <v>201</v>
      </c>
      <c r="C49" t="s">
        <v>188</v>
      </c>
      <c r="D49" s="104">
        <v>3568</v>
      </c>
    </row>
    <row r="50" spans="1:4">
      <c r="A50">
        <v>47</v>
      </c>
      <c r="B50" t="s">
        <v>202</v>
      </c>
      <c r="C50" t="s">
        <v>157</v>
      </c>
      <c r="D50" s="104">
        <v>3545</v>
      </c>
    </row>
    <row r="51" spans="1:4">
      <c r="A51">
        <v>48</v>
      </c>
      <c r="B51" t="s">
        <v>203</v>
      </c>
      <c r="C51" t="s">
        <v>193</v>
      </c>
      <c r="D51" s="104">
        <v>3498.5</v>
      </c>
    </row>
    <row r="52" spans="1:4">
      <c r="A52">
        <v>49</v>
      </c>
      <c r="B52" t="s">
        <v>204</v>
      </c>
      <c r="C52" t="s">
        <v>157</v>
      </c>
      <c r="D52" s="104">
        <v>3000</v>
      </c>
    </row>
    <row r="53" spans="1:4">
      <c r="A53">
        <v>50</v>
      </c>
      <c r="B53" t="s">
        <v>205</v>
      </c>
      <c r="C53" t="s">
        <v>173</v>
      </c>
      <c r="D53" s="104">
        <v>2569</v>
      </c>
    </row>
    <row r="54" spans="1:4">
      <c r="A54">
        <v>51</v>
      </c>
      <c r="B54" t="s">
        <v>206</v>
      </c>
      <c r="C54" t="s">
        <v>193</v>
      </c>
      <c r="D54" s="104">
        <v>2519.5</v>
      </c>
    </row>
    <row r="55" spans="1:4">
      <c r="A55">
        <v>52</v>
      </c>
      <c r="B55" t="s">
        <v>207</v>
      </c>
      <c r="C55" t="s">
        <v>193</v>
      </c>
      <c r="D55" s="104">
        <v>2091.5</v>
      </c>
    </row>
    <row r="56" spans="1:4">
      <c r="A56">
        <v>53</v>
      </c>
      <c r="B56" t="s">
        <v>208</v>
      </c>
      <c r="C56" t="s">
        <v>193</v>
      </c>
      <c r="D56" s="104">
        <v>2057</v>
      </c>
    </row>
    <row r="57" spans="1:4">
      <c r="A57">
        <v>54</v>
      </c>
      <c r="B57" t="s">
        <v>209</v>
      </c>
      <c r="C57" t="s">
        <v>193</v>
      </c>
      <c r="D57" s="104">
        <v>1920</v>
      </c>
    </row>
    <row r="58" spans="1:4">
      <c r="A58">
        <v>55</v>
      </c>
      <c r="B58" t="s">
        <v>210</v>
      </c>
      <c r="C58" t="s">
        <v>157</v>
      </c>
      <c r="D58" s="104">
        <v>1848.5</v>
      </c>
    </row>
    <row r="59" spans="1:4">
      <c r="A59">
        <v>56</v>
      </c>
      <c r="B59" t="s">
        <v>211</v>
      </c>
      <c r="C59" t="s">
        <v>173</v>
      </c>
      <c r="D59" s="104">
        <v>1786.5</v>
      </c>
    </row>
    <row r="60" spans="1:4">
      <c r="A60">
        <v>57</v>
      </c>
      <c r="B60" t="s">
        <v>212</v>
      </c>
      <c r="C60" t="s">
        <v>173</v>
      </c>
      <c r="D60" s="104">
        <v>1724.5</v>
      </c>
    </row>
    <row r="61" spans="1:4">
      <c r="A61">
        <v>58</v>
      </c>
      <c r="B61" t="s">
        <v>213</v>
      </c>
      <c r="C61" t="s">
        <v>193</v>
      </c>
      <c r="D61" s="104">
        <v>1715.5</v>
      </c>
    </row>
    <row r="62" spans="1:4">
      <c r="A62">
        <v>59</v>
      </c>
      <c r="B62" t="s">
        <v>214</v>
      </c>
      <c r="C62" t="s">
        <v>188</v>
      </c>
      <c r="D62" s="104">
        <v>1700</v>
      </c>
    </row>
    <row r="63" spans="1:4">
      <c r="A63">
        <v>60</v>
      </c>
      <c r="B63" t="s">
        <v>215</v>
      </c>
      <c r="C63" t="s">
        <v>157</v>
      </c>
      <c r="D63" s="104">
        <v>1655</v>
      </c>
    </row>
    <row r="64" spans="1:4">
      <c r="A64">
        <v>61</v>
      </c>
      <c r="B64" t="s">
        <v>216</v>
      </c>
      <c r="C64" t="s">
        <v>173</v>
      </c>
      <c r="D64" s="104">
        <v>1434</v>
      </c>
    </row>
    <row r="65" spans="1:4">
      <c r="A65">
        <v>62</v>
      </c>
      <c r="B65" t="s">
        <v>217</v>
      </c>
      <c r="C65" t="s">
        <v>157</v>
      </c>
      <c r="D65" s="104">
        <v>1423.5</v>
      </c>
    </row>
    <row r="66" spans="1:4">
      <c r="A66">
        <v>63</v>
      </c>
      <c r="B66" t="s">
        <v>218</v>
      </c>
      <c r="C66" t="s">
        <v>173</v>
      </c>
      <c r="D66" s="104">
        <v>1106</v>
      </c>
    </row>
    <row r="67" spans="1:4">
      <c r="A67">
        <v>64</v>
      </c>
      <c r="B67" t="s">
        <v>219</v>
      </c>
      <c r="C67" t="s">
        <v>173</v>
      </c>
      <c r="D67" s="104">
        <v>1105.5</v>
      </c>
    </row>
    <row r="68" spans="1:4">
      <c r="A68">
        <v>65</v>
      </c>
      <c r="B68" t="s">
        <v>220</v>
      </c>
      <c r="C68" t="s">
        <v>173</v>
      </c>
      <c r="D68" s="104">
        <v>1100</v>
      </c>
    </row>
    <row r="69" spans="1:4">
      <c r="A69">
        <v>66</v>
      </c>
      <c r="B69" t="s">
        <v>221</v>
      </c>
      <c r="C69" t="s">
        <v>173</v>
      </c>
      <c r="D69" s="104">
        <v>1092</v>
      </c>
    </row>
    <row r="70" spans="1:4">
      <c r="A70">
        <v>67</v>
      </c>
      <c r="B70" t="s">
        <v>222</v>
      </c>
      <c r="C70" t="s">
        <v>173</v>
      </c>
      <c r="D70" s="104">
        <v>1020</v>
      </c>
    </row>
    <row r="71" spans="1:4">
      <c r="A71">
        <v>68</v>
      </c>
      <c r="B71" t="s">
        <v>223</v>
      </c>
      <c r="C71" t="s">
        <v>157</v>
      </c>
      <c r="D71" s="104">
        <v>1010.5</v>
      </c>
    </row>
    <row r="72" spans="1:4">
      <c r="A72">
        <v>69</v>
      </c>
      <c r="B72" t="s">
        <v>224</v>
      </c>
      <c r="C72" t="s">
        <v>188</v>
      </c>
      <c r="D72" s="104">
        <v>987</v>
      </c>
    </row>
    <row r="73" spans="1:4">
      <c r="A73">
        <v>70</v>
      </c>
      <c r="B73" t="s">
        <v>225</v>
      </c>
      <c r="C73" t="s">
        <v>188</v>
      </c>
      <c r="D73" s="104">
        <v>903</v>
      </c>
    </row>
    <row r="74" spans="1:4">
      <c r="A74">
        <v>71</v>
      </c>
      <c r="B74" t="s">
        <v>226</v>
      </c>
      <c r="C74" t="s">
        <v>193</v>
      </c>
      <c r="D74" s="104">
        <v>878.5</v>
      </c>
    </row>
    <row r="75" spans="1:4">
      <c r="A75">
        <v>72</v>
      </c>
      <c r="B75" t="s">
        <v>227</v>
      </c>
      <c r="C75" t="s">
        <v>149</v>
      </c>
      <c r="D75" s="104">
        <v>821</v>
      </c>
    </row>
    <row r="76" spans="1:4">
      <c r="A76">
        <v>73</v>
      </c>
      <c r="B76" t="s">
        <v>228</v>
      </c>
      <c r="C76" t="s">
        <v>157</v>
      </c>
      <c r="D76" s="104">
        <v>812.5</v>
      </c>
    </row>
    <row r="77" spans="1:4">
      <c r="A77">
        <v>74</v>
      </c>
      <c r="B77" t="s">
        <v>229</v>
      </c>
      <c r="C77" t="s">
        <v>157</v>
      </c>
      <c r="D77" s="104">
        <v>771.5</v>
      </c>
    </row>
    <row r="78" spans="1:4">
      <c r="A78">
        <v>75</v>
      </c>
      <c r="B78" t="s">
        <v>230</v>
      </c>
      <c r="C78" t="s">
        <v>193</v>
      </c>
      <c r="D78" s="104">
        <v>719</v>
      </c>
    </row>
    <row r="79" spans="1:4">
      <c r="A79">
        <v>76</v>
      </c>
      <c r="B79" t="s">
        <v>231</v>
      </c>
      <c r="C79" t="s">
        <v>193</v>
      </c>
      <c r="D79" s="104">
        <v>614.5</v>
      </c>
    </row>
    <row r="80" spans="1:4">
      <c r="A80">
        <v>77</v>
      </c>
      <c r="B80" t="s">
        <v>232</v>
      </c>
      <c r="C80" t="s">
        <v>173</v>
      </c>
      <c r="D80" s="104">
        <v>605</v>
      </c>
    </row>
    <row r="81" spans="1:4">
      <c r="A81">
        <v>78</v>
      </c>
      <c r="B81" t="s">
        <v>233</v>
      </c>
      <c r="C81" t="s">
        <v>173</v>
      </c>
      <c r="D81" s="104">
        <v>360</v>
      </c>
    </row>
    <row r="82" spans="1:4">
      <c r="A82">
        <v>79</v>
      </c>
      <c r="B82" t="s">
        <v>234</v>
      </c>
      <c r="C82" t="s">
        <v>173</v>
      </c>
      <c r="D82" s="104">
        <v>267.5</v>
      </c>
    </row>
    <row r="83" spans="1:4">
      <c r="A83">
        <v>80</v>
      </c>
      <c r="B83" t="s">
        <v>235</v>
      </c>
      <c r="C83" t="s">
        <v>188</v>
      </c>
      <c r="D83" s="104">
        <v>241</v>
      </c>
    </row>
    <row r="84" spans="1:4">
      <c r="A84">
        <v>81</v>
      </c>
      <c r="B84" t="s">
        <v>236</v>
      </c>
      <c r="C84" t="s">
        <v>173</v>
      </c>
      <c r="D84" s="104">
        <v>231</v>
      </c>
    </row>
    <row r="85" spans="1:4">
      <c r="A85">
        <v>82</v>
      </c>
      <c r="B85" t="s">
        <v>237</v>
      </c>
      <c r="C85" t="s">
        <v>157</v>
      </c>
      <c r="D85" s="104">
        <v>226.5</v>
      </c>
    </row>
    <row r="86" spans="1:4">
      <c r="A86">
        <v>83</v>
      </c>
      <c r="B86" t="s">
        <v>238</v>
      </c>
      <c r="C86" t="s">
        <v>173</v>
      </c>
      <c r="D86" s="104">
        <v>221</v>
      </c>
    </row>
    <row r="87" spans="1:4">
      <c r="A87">
        <v>84</v>
      </c>
      <c r="B87" t="s">
        <v>239</v>
      </c>
      <c r="C87" t="s">
        <v>193</v>
      </c>
      <c r="D87" s="104">
        <v>220</v>
      </c>
    </row>
    <row r="88" spans="1:4">
      <c r="A88">
        <v>85</v>
      </c>
      <c r="B88" t="s">
        <v>240</v>
      </c>
      <c r="C88" t="s">
        <v>149</v>
      </c>
      <c r="D88" s="104">
        <v>182.5</v>
      </c>
    </row>
    <row r="89" spans="1:4">
      <c r="A89">
        <v>86</v>
      </c>
      <c r="B89" t="s">
        <v>241</v>
      </c>
      <c r="C89" t="s">
        <v>157</v>
      </c>
      <c r="D89" s="104">
        <v>163.5</v>
      </c>
    </row>
    <row r="90" spans="1:4">
      <c r="A90">
        <v>87</v>
      </c>
      <c r="B90" t="s">
        <v>242</v>
      </c>
      <c r="C90" t="s">
        <v>173</v>
      </c>
      <c r="D90" s="104">
        <v>156</v>
      </c>
    </row>
    <row r="91" spans="1:4">
      <c r="A91">
        <v>88</v>
      </c>
      <c r="B91" t="s">
        <v>243</v>
      </c>
      <c r="C91" t="s">
        <v>157</v>
      </c>
      <c r="D91" s="104">
        <v>122.5</v>
      </c>
    </row>
    <row r="92" spans="1:4">
      <c r="A92">
        <v>89</v>
      </c>
      <c r="B92" t="s">
        <v>244</v>
      </c>
      <c r="C92" t="s">
        <v>188</v>
      </c>
      <c r="D92" s="104">
        <v>116</v>
      </c>
    </row>
    <row r="93" spans="1:4">
      <c r="A93">
        <v>90</v>
      </c>
      <c r="B93" t="s">
        <v>245</v>
      </c>
      <c r="C93" t="s">
        <v>173</v>
      </c>
      <c r="D93" s="104">
        <v>104.5</v>
      </c>
    </row>
    <row r="94" spans="1:4">
      <c r="A94">
        <v>91</v>
      </c>
      <c r="B94" t="s">
        <v>246</v>
      </c>
      <c r="C94" t="s">
        <v>193</v>
      </c>
      <c r="D94" s="104">
        <v>81.5</v>
      </c>
    </row>
    <row r="95" spans="1:4">
      <c r="A95">
        <v>92</v>
      </c>
      <c r="B95" t="s">
        <v>247</v>
      </c>
      <c r="C95" t="s">
        <v>173</v>
      </c>
      <c r="D95" s="104">
        <v>77</v>
      </c>
    </row>
    <row r="96" spans="1:4">
      <c r="A96">
        <v>93</v>
      </c>
      <c r="B96" t="s">
        <v>248</v>
      </c>
      <c r="C96" t="s">
        <v>193</v>
      </c>
      <c r="D96" s="104">
        <v>75</v>
      </c>
    </row>
    <row r="97" spans="1:4">
      <c r="A97">
        <v>94</v>
      </c>
      <c r="B97" t="s">
        <v>249</v>
      </c>
      <c r="C97" t="s">
        <v>157</v>
      </c>
      <c r="D97" s="104">
        <v>61.5</v>
      </c>
    </row>
    <row r="98" spans="1:4">
      <c r="A98">
        <v>95</v>
      </c>
      <c r="B98" t="s">
        <v>250</v>
      </c>
      <c r="C98" t="s">
        <v>173</v>
      </c>
      <c r="D98" s="104">
        <v>51</v>
      </c>
    </row>
    <row r="99" spans="1:4">
      <c r="A99">
        <v>96</v>
      </c>
      <c r="B99" t="s">
        <v>251</v>
      </c>
      <c r="C99" t="s">
        <v>173</v>
      </c>
      <c r="D99" s="104">
        <v>40</v>
      </c>
    </row>
    <row r="100" spans="1:4">
      <c r="A100">
        <v>97</v>
      </c>
      <c r="B100" t="s">
        <v>252</v>
      </c>
      <c r="C100" t="s">
        <v>157</v>
      </c>
      <c r="D100" s="104">
        <v>33.5</v>
      </c>
    </row>
    <row r="101" spans="1:4">
      <c r="A101">
        <v>98</v>
      </c>
      <c r="B101" t="s">
        <v>253</v>
      </c>
      <c r="C101" t="s">
        <v>188</v>
      </c>
      <c r="D101" s="104">
        <v>20</v>
      </c>
    </row>
    <row r="102" spans="1:4">
      <c r="A102">
        <v>99</v>
      </c>
      <c r="B102" t="s">
        <v>254</v>
      </c>
      <c r="C102" t="s">
        <v>149</v>
      </c>
      <c r="D102" s="104">
        <v>20</v>
      </c>
    </row>
    <row r="103" spans="1:4">
      <c r="A103">
        <v>100</v>
      </c>
      <c r="B103" t="s">
        <v>255</v>
      </c>
      <c r="C103" t="s">
        <v>173</v>
      </c>
      <c r="D103" s="104">
        <v>15</v>
      </c>
    </row>
    <row r="104" spans="1:4">
      <c r="A104">
        <v>101</v>
      </c>
      <c r="B104" t="s">
        <v>256</v>
      </c>
      <c r="C104" t="s">
        <v>170</v>
      </c>
      <c r="D104" s="104">
        <v>8</v>
      </c>
    </row>
    <row r="105" spans="1:4">
      <c r="A105">
        <v>102</v>
      </c>
      <c r="B105" t="s">
        <v>257</v>
      </c>
      <c r="C105" t="s">
        <v>173</v>
      </c>
      <c r="D105" s="104">
        <v>4</v>
      </c>
    </row>
    <row r="106" spans="1:4">
      <c r="A106">
        <v>103</v>
      </c>
      <c r="B106" t="s">
        <v>258</v>
      </c>
      <c r="C106" t="s">
        <v>160</v>
      </c>
      <c r="D106" s="104">
        <v>3</v>
      </c>
    </row>
    <row r="107" spans="1:4">
      <c r="A107">
        <v>104</v>
      </c>
      <c r="B107" t="s">
        <v>259</v>
      </c>
      <c r="C107" t="s">
        <v>173</v>
      </c>
      <c r="D107" s="104">
        <v>2</v>
      </c>
    </row>
    <row r="110" spans="1:4">
      <c r="D110" s="107">
        <f>SUM(D4:D107)</f>
        <v>3202987.9</v>
      </c>
    </row>
    <row r="111" spans="1:4">
      <c r="D111" s="106"/>
    </row>
    <row r="113" spans="4:4">
      <c r="D113" s="106"/>
    </row>
    <row r="114" spans="4:4">
      <c r="D114" s="106"/>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League Table</vt:lpstr>
      <vt:lpstr>Warm-water</vt:lpstr>
      <vt:lpstr>Cold-water</vt:lpstr>
      <vt:lpstr>MSC-FIP info</vt:lpstr>
      <vt:lpstr>MSC conditions</vt:lpstr>
      <vt:lpstr>FAO (1)</vt:lpstr>
      <vt:lpstr>FAO (2 - by country)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Portley</dc:creator>
  <cp:lastModifiedBy>Nicole Portley</cp:lastModifiedBy>
  <dcterms:created xsi:type="dcterms:W3CDTF">2013-07-24T13:51:45Z</dcterms:created>
  <dcterms:modified xsi:type="dcterms:W3CDTF">2013-12-18T08:07:44Z</dcterms:modified>
</cp:coreProperties>
</file>