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203"/>
  <workbookPr showInkAnnotation="0" autoCompressPictures="0"/>
  <bookViews>
    <workbookView xWindow="0" yWindow="0" windowWidth="25600" windowHeight="14960" tabRatio="583"/>
  </bookViews>
  <sheets>
    <sheet name="Fully-Scored Profiles" sheetId="1" r:id="rId1"/>
    <sheet name="Quick-Scored Profiles" sheetId="4" r:id="rId2"/>
    <sheet name="By Region" sheetId="7" r:id="rId3"/>
    <sheet name="Species &amp; Region" sheetId="8" r:id="rId4"/>
    <sheet name="MSC (1)" sheetId="9" r:id="rId5"/>
    <sheet name="MSC (2)" sheetId="10" r:id="rId6"/>
    <sheet name="Harvest trends" sheetId="5" r:id="rId7"/>
    <sheet name="Hatchery trends" sheetId="6" r:id="rId8"/>
    <sheet name="Stock trends" sheetId="12" r:id="rId9"/>
  </sheets>
  <definedNames>
    <definedName name="_xlnm._FilterDatabase" localSheetId="0" hidden="1">'Fully-Scored Profiles'!$A$5:$AD$58</definedName>
    <definedName name="_xlnm._FilterDatabase" localSheetId="1" hidden="1">'Quick-Scored Profiles'!$A$3:$O$45</definedName>
    <definedName name="_xlnm._FilterDatabase" localSheetId="8" hidden="1">'Stock trends'!$A$9:$I$176</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Z14" i="1" l="1"/>
  <c r="C5" i="9"/>
  <c r="C6" i="9"/>
  <c r="Z12" i="1"/>
  <c r="C9" i="9"/>
  <c r="Z11" i="1"/>
  <c r="C12" i="9"/>
  <c r="AA5" i="9"/>
  <c r="Z7" i="1"/>
  <c r="C3" i="9"/>
  <c r="C4" i="9"/>
  <c r="Z8" i="1"/>
  <c r="C7" i="9"/>
  <c r="Z9" i="1"/>
  <c r="C8" i="9"/>
  <c r="Z10" i="1"/>
  <c r="C10" i="9"/>
  <c r="C11" i="9"/>
  <c r="C2" i="9"/>
  <c r="AA3" i="9"/>
  <c r="AA8" i="9"/>
  <c r="AA7" i="9"/>
  <c r="H13" i="9"/>
  <c r="Z33" i="1"/>
  <c r="M8" i="9"/>
  <c r="M9" i="9"/>
  <c r="AS7" i="9"/>
  <c r="W2" i="9"/>
  <c r="W14" i="9"/>
  <c r="Z54" i="1"/>
  <c r="W15" i="9"/>
  <c r="Z56" i="1"/>
  <c r="W17" i="9"/>
  <c r="Z57" i="1"/>
  <c r="W18" i="9"/>
  <c r="Z58" i="1"/>
  <c r="W20" i="9"/>
  <c r="AE5" i="9"/>
  <c r="AE4" i="9"/>
  <c r="W3" i="9"/>
  <c r="Z46" i="1"/>
  <c r="W4" i="9"/>
  <c r="Z47" i="1"/>
  <c r="W5" i="9"/>
  <c r="Z48" i="1"/>
  <c r="W6" i="9"/>
  <c r="Z52" i="1"/>
  <c r="W7" i="9"/>
  <c r="W8" i="9"/>
  <c r="W9" i="9"/>
  <c r="Z49" i="1"/>
  <c r="W10" i="9"/>
  <c r="W11" i="9"/>
  <c r="Z50" i="1"/>
  <c r="W12" i="9"/>
  <c r="W13" i="9"/>
  <c r="Z55" i="1"/>
  <c r="W16" i="9"/>
  <c r="AE3" i="9"/>
  <c r="Z39" i="1"/>
  <c r="R11" i="9"/>
  <c r="R12" i="9"/>
  <c r="Z40" i="1"/>
  <c r="R13" i="9"/>
  <c r="R16" i="9"/>
  <c r="R17" i="9"/>
  <c r="R19" i="9"/>
  <c r="Z43" i="1"/>
  <c r="R20" i="9"/>
  <c r="Z44" i="1"/>
  <c r="R22" i="9"/>
  <c r="AD5" i="9"/>
  <c r="Z35" i="1"/>
  <c r="R8" i="9"/>
  <c r="AD4" i="9"/>
  <c r="R2" i="9"/>
  <c r="R3" i="9"/>
  <c r="R4" i="9"/>
  <c r="R5" i="9"/>
  <c r="R6" i="9"/>
  <c r="R7" i="9"/>
  <c r="Z36" i="1"/>
  <c r="R9" i="9"/>
  <c r="R10" i="9"/>
  <c r="Z41" i="1"/>
  <c r="R14" i="9"/>
  <c r="Z42" i="1"/>
  <c r="R18" i="9"/>
  <c r="AD3" i="9"/>
  <c r="Z32" i="1"/>
  <c r="M7" i="9"/>
  <c r="M13" i="9"/>
  <c r="M14" i="9"/>
  <c r="M16" i="9"/>
  <c r="AC5" i="9"/>
  <c r="M2" i="9"/>
  <c r="M3" i="9"/>
  <c r="M4" i="9"/>
  <c r="M5" i="9"/>
  <c r="Z30" i="1"/>
  <c r="M6" i="9"/>
  <c r="M10" i="9"/>
  <c r="Z31" i="1"/>
  <c r="M11" i="9"/>
  <c r="M12" i="9"/>
  <c r="AC3" i="9"/>
  <c r="H15" i="9"/>
  <c r="Z24" i="1"/>
  <c r="H16" i="9"/>
  <c r="H18" i="9"/>
  <c r="H19" i="9"/>
  <c r="H21" i="9"/>
  <c r="H22" i="9"/>
  <c r="H23" i="9"/>
  <c r="H24" i="9"/>
  <c r="H25" i="9"/>
  <c r="Z27" i="1"/>
  <c r="H26" i="9"/>
  <c r="Z28" i="1"/>
  <c r="H28" i="9"/>
  <c r="AB5" i="9"/>
  <c r="H10" i="9"/>
  <c r="Z18" i="1"/>
  <c r="H11" i="9"/>
  <c r="AB4" i="9"/>
  <c r="Z16" i="1"/>
  <c r="H2" i="9"/>
  <c r="H3" i="9"/>
  <c r="H4" i="9"/>
  <c r="H5" i="9"/>
  <c r="H6" i="9"/>
  <c r="H7" i="9"/>
  <c r="H8" i="9"/>
  <c r="Z17" i="1"/>
  <c r="H9" i="9"/>
  <c r="Z19" i="1"/>
  <c r="H12" i="9"/>
  <c r="H14" i="9"/>
  <c r="Z25" i="1"/>
  <c r="H17" i="9"/>
  <c r="AB3" i="9"/>
  <c r="C13" i="9"/>
  <c r="C14" i="9"/>
  <c r="AM7" i="9"/>
  <c r="AM4" i="9"/>
  <c r="AM5" i="9"/>
  <c r="AL8" i="9"/>
  <c r="AO7" i="9"/>
  <c r="AN8" i="9"/>
  <c r="AK4" i="9"/>
  <c r="AQ4" i="9"/>
  <c r="AU4" i="9"/>
  <c r="AK5" i="9"/>
  <c r="AQ5" i="9"/>
  <c r="AU5" i="9"/>
  <c r="AU6" i="9"/>
  <c r="AT4" i="9"/>
  <c r="AT5" i="9"/>
  <c r="AT6" i="9"/>
  <c r="AT7" i="9"/>
  <c r="AK7" i="9"/>
  <c r="AQ7" i="9"/>
  <c r="AU7" i="9"/>
  <c r="AT8" i="9"/>
  <c r="AC4" i="9"/>
  <c r="L39" i="4"/>
  <c r="J45" i="4"/>
  <c r="J38" i="4"/>
  <c r="J37" i="4"/>
  <c r="J36" i="4"/>
  <c r="J35" i="4"/>
  <c r="J21" i="4"/>
  <c r="J20" i="4"/>
  <c r="J19" i="4"/>
  <c r="J18" i="4"/>
  <c r="J17" i="4"/>
  <c r="Z26" i="1"/>
  <c r="M7" i="10"/>
  <c r="N7" i="10"/>
  <c r="O7" i="10"/>
  <c r="P7" i="10"/>
  <c r="Q7" i="10"/>
  <c r="R7" i="10"/>
  <c r="S7" i="10"/>
  <c r="T7" i="10"/>
  <c r="U7" i="10"/>
  <c r="V7" i="10"/>
  <c r="W7" i="10"/>
  <c r="X7" i="10"/>
  <c r="Y7" i="10"/>
  <c r="Z7" i="10"/>
  <c r="AA7" i="10"/>
  <c r="L7" i="10"/>
  <c r="M6" i="10"/>
  <c r="N6" i="10"/>
  <c r="O6" i="10"/>
  <c r="P6" i="10"/>
  <c r="Q6" i="10"/>
  <c r="R6" i="10"/>
  <c r="S6" i="10"/>
  <c r="T6" i="10"/>
  <c r="U6" i="10"/>
  <c r="V6" i="10"/>
  <c r="W6" i="10"/>
  <c r="X6" i="10"/>
  <c r="Y6" i="10"/>
  <c r="Z6" i="10"/>
  <c r="AA6" i="10"/>
  <c r="L6" i="10"/>
  <c r="AA5" i="10"/>
  <c r="AA4" i="10"/>
  <c r="AA3" i="10"/>
  <c r="Y5" i="10"/>
  <c r="Y4" i="10"/>
  <c r="Y3" i="10"/>
  <c r="W5" i="10"/>
  <c r="W4" i="10"/>
  <c r="W3" i="10"/>
  <c r="U5" i="10"/>
  <c r="U4" i="10"/>
  <c r="U3" i="10"/>
  <c r="S5" i="10"/>
  <c r="S4" i="10"/>
  <c r="S3" i="10"/>
  <c r="Q5" i="10"/>
  <c r="Q4" i="10"/>
  <c r="Q3" i="10"/>
  <c r="O5" i="10"/>
  <c r="O4" i="10"/>
  <c r="O3" i="10"/>
  <c r="M5" i="10"/>
  <c r="M4" i="10"/>
  <c r="M3" i="10"/>
  <c r="AF16" i="6"/>
  <c r="AF14" i="6"/>
  <c r="AF12" i="6"/>
  <c r="AF10" i="6"/>
  <c r="AF8" i="6"/>
  <c r="AF4" i="6"/>
  <c r="AD5" i="6"/>
  <c r="AE5" i="6"/>
  <c r="AF5" i="6"/>
  <c r="AG5" i="6"/>
  <c r="AH5" i="6"/>
  <c r="AD6" i="6"/>
  <c r="AE6" i="6"/>
  <c r="AF6" i="6"/>
  <c r="AG6" i="6"/>
  <c r="AH6" i="6"/>
  <c r="AD7" i="6"/>
  <c r="AE7" i="6"/>
  <c r="AF7" i="6"/>
  <c r="AG7" i="6"/>
  <c r="AH7" i="6"/>
  <c r="AD8" i="6"/>
  <c r="AE8" i="6"/>
  <c r="AG8" i="6"/>
  <c r="AH8" i="6"/>
  <c r="AD9" i="6"/>
  <c r="AE9" i="6"/>
  <c r="AF9" i="6"/>
  <c r="AG9" i="6"/>
  <c r="AH9" i="6"/>
  <c r="AD10" i="6"/>
  <c r="AE10" i="6"/>
  <c r="AG10" i="6"/>
  <c r="AH10" i="6"/>
  <c r="AD11" i="6"/>
  <c r="AE11" i="6"/>
  <c r="AF11" i="6"/>
  <c r="AG11" i="6"/>
  <c r="AH11" i="6"/>
  <c r="AD12" i="6"/>
  <c r="AE12" i="6"/>
  <c r="AG12" i="6"/>
  <c r="AH12" i="6"/>
  <c r="AD13" i="6"/>
  <c r="AE13" i="6"/>
  <c r="AF13" i="6"/>
  <c r="AG13" i="6"/>
  <c r="AH13" i="6"/>
  <c r="AD14" i="6"/>
  <c r="AE14" i="6"/>
  <c r="AG14" i="6"/>
  <c r="AH14" i="6"/>
  <c r="AD15" i="6"/>
  <c r="AE15" i="6"/>
  <c r="AF15" i="6"/>
  <c r="AG15" i="6"/>
  <c r="AH15" i="6"/>
  <c r="AD16" i="6"/>
  <c r="AE16" i="6"/>
  <c r="AG16" i="6"/>
  <c r="AH16" i="6"/>
  <c r="AD17" i="6"/>
  <c r="AE17" i="6"/>
  <c r="AF17" i="6"/>
  <c r="AG17" i="6"/>
  <c r="AH17" i="6"/>
  <c r="AD18" i="6"/>
  <c r="AE18" i="6"/>
  <c r="AF18" i="6"/>
  <c r="AG18" i="6"/>
  <c r="AH18" i="6"/>
  <c r="AD19" i="6"/>
  <c r="AE19" i="6"/>
  <c r="AF19" i="6"/>
  <c r="AG19" i="6"/>
  <c r="AH19" i="6"/>
  <c r="AD20" i="6"/>
  <c r="AE20" i="6"/>
  <c r="AF20" i="6"/>
  <c r="AG20" i="6"/>
  <c r="AH20" i="6"/>
  <c r="AH4" i="6"/>
  <c r="AG4" i="6"/>
  <c r="AE4" i="6"/>
  <c r="AD4" i="6"/>
  <c r="AD11" i="5"/>
  <c r="AD12" i="5"/>
  <c r="AD10" i="5"/>
  <c r="AA20" i="5"/>
  <c r="AB20" i="5"/>
  <c r="AC20" i="5"/>
  <c r="AD20" i="5"/>
  <c r="AE20" i="5"/>
  <c r="AA5" i="5"/>
  <c r="AB5" i="5"/>
  <c r="AC5" i="5"/>
  <c r="AD5" i="5"/>
  <c r="AE5" i="5"/>
  <c r="AA6" i="5"/>
  <c r="AB6" i="5"/>
  <c r="AC6" i="5"/>
  <c r="AD6" i="5"/>
  <c r="AE6" i="5"/>
  <c r="AA7" i="5"/>
  <c r="AB7" i="5"/>
  <c r="AC7" i="5"/>
  <c r="AD7" i="5"/>
  <c r="AE7" i="5"/>
  <c r="AA8" i="5"/>
  <c r="AB8" i="5"/>
  <c r="AC8" i="5"/>
  <c r="AD8" i="5"/>
  <c r="AE8" i="5"/>
  <c r="AA9" i="5"/>
  <c r="AB9" i="5"/>
  <c r="AC9" i="5"/>
  <c r="AD9" i="5"/>
  <c r="AE9" i="5"/>
  <c r="AA10" i="5"/>
  <c r="AB10" i="5"/>
  <c r="AC10" i="5"/>
  <c r="AE10" i="5"/>
  <c r="AA11" i="5"/>
  <c r="AB11" i="5"/>
  <c r="AC11" i="5"/>
  <c r="AE11" i="5"/>
  <c r="AA12" i="5"/>
  <c r="AB12" i="5"/>
  <c r="AC12" i="5"/>
  <c r="AE12" i="5"/>
  <c r="AA13" i="5"/>
  <c r="AB13" i="5"/>
  <c r="AC13" i="5"/>
  <c r="AD13" i="5"/>
  <c r="AE13" i="5"/>
  <c r="AA14" i="5"/>
  <c r="AB14" i="5"/>
  <c r="AC14" i="5"/>
  <c r="AD14" i="5"/>
  <c r="AE14" i="5"/>
  <c r="AA15" i="5"/>
  <c r="AB15" i="5"/>
  <c r="AC15" i="5"/>
  <c r="AD15" i="5"/>
  <c r="AE15" i="5"/>
  <c r="AA16" i="5"/>
  <c r="AB16" i="5"/>
  <c r="AC16" i="5"/>
  <c r="AD16" i="5"/>
  <c r="AE16" i="5"/>
  <c r="AA17" i="5"/>
  <c r="AB17" i="5"/>
  <c r="AC17" i="5"/>
  <c r="AD17" i="5"/>
  <c r="AE17" i="5"/>
  <c r="AA18" i="5"/>
  <c r="AB18" i="5"/>
  <c r="AC18" i="5"/>
  <c r="AD18" i="5"/>
  <c r="AE18" i="5"/>
  <c r="AA19" i="5"/>
  <c r="AB19" i="5"/>
  <c r="AC19" i="5"/>
  <c r="AD19" i="5"/>
  <c r="AE19" i="5"/>
  <c r="AE4" i="5"/>
  <c r="AD4" i="5"/>
  <c r="AC4" i="5"/>
  <c r="AB4" i="5"/>
  <c r="AA4" i="5"/>
  <c r="Z51" i="1"/>
  <c r="Z37" i="1"/>
  <c r="F29" i="8"/>
  <c r="F9" i="8"/>
  <c r="AB2" i="8"/>
  <c r="F11" i="8"/>
  <c r="F32" i="8"/>
  <c r="AB3" i="8"/>
  <c r="Z13" i="1"/>
  <c r="I4" i="8"/>
  <c r="AB4" i="8"/>
  <c r="I44" i="8"/>
  <c r="I16" i="8"/>
  <c r="AB5" i="8"/>
  <c r="I43" i="8"/>
  <c r="I15" i="8"/>
  <c r="AB6" i="8"/>
  <c r="AB8" i="8"/>
  <c r="I6" i="8"/>
  <c r="I28" i="8"/>
  <c r="AB7" i="8"/>
  <c r="AC3" i="8"/>
  <c r="AC4" i="8"/>
  <c r="AC5" i="8"/>
  <c r="AC7" i="8"/>
  <c r="AC6" i="8"/>
  <c r="AC2" i="8"/>
  <c r="AF5" i="5"/>
  <c r="AF6" i="5"/>
  <c r="AF7" i="5"/>
  <c r="AF8" i="5"/>
  <c r="AF9" i="5"/>
  <c r="AF10" i="5"/>
  <c r="AF11" i="5"/>
  <c r="AF12" i="5"/>
  <c r="AF13" i="5"/>
  <c r="AF14" i="5"/>
  <c r="AF15" i="5"/>
  <c r="AF16" i="5"/>
  <c r="AF17" i="5"/>
  <c r="AF18" i="5"/>
  <c r="Q19" i="5"/>
  <c r="L19" i="5"/>
  <c r="Z19" i="5"/>
  <c r="AF19" i="5"/>
  <c r="AF20" i="5"/>
  <c r="AF4" i="5"/>
  <c r="AI18" i="6"/>
  <c r="Z18" i="6"/>
  <c r="R18" i="6"/>
  <c r="R19" i="6"/>
  <c r="W18" i="6"/>
  <c r="U18" i="6"/>
  <c r="P18" i="6"/>
  <c r="Z20" i="1"/>
  <c r="J5" i="4"/>
  <c r="J6" i="4"/>
  <c r="J7" i="4"/>
  <c r="J8" i="4"/>
  <c r="J9" i="4"/>
  <c r="J10" i="4"/>
  <c r="J11" i="4"/>
  <c r="J12" i="4"/>
  <c r="J14" i="4"/>
  <c r="J22" i="4"/>
  <c r="J23" i="4"/>
  <c r="J24" i="4"/>
  <c r="J25" i="4"/>
  <c r="J26" i="4"/>
  <c r="J27" i="4"/>
  <c r="J28" i="4"/>
  <c r="J29" i="4"/>
  <c r="J32" i="4"/>
  <c r="J33" i="4"/>
  <c r="J34" i="4"/>
  <c r="J30" i="4"/>
  <c r="J31" i="4"/>
  <c r="J42" i="4"/>
  <c r="J40" i="4"/>
  <c r="J43" i="4"/>
  <c r="J44" i="4"/>
  <c r="J41" i="4"/>
  <c r="AF3" i="9"/>
  <c r="J13" i="4"/>
  <c r="AF4" i="9"/>
  <c r="J16" i="4"/>
  <c r="J39" i="4"/>
  <c r="AF5" i="9"/>
  <c r="AF6" i="9"/>
  <c r="AG5" i="9"/>
  <c r="AG4" i="9"/>
  <c r="AG3" i="9"/>
  <c r="M18" i="8"/>
  <c r="U19" i="8"/>
  <c r="M6" i="8"/>
  <c r="U5" i="8"/>
  <c r="I45" i="8"/>
  <c r="M32" i="8"/>
  <c r="I40" i="8"/>
  <c r="I41" i="8"/>
  <c r="M31" i="8"/>
  <c r="F53" i="8"/>
  <c r="F54" i="8"/>
  <c r="F55" i="8"/>
  <c r="M30" i="8"/>
  <c r="F50" i="8"/>
  <c r="F51" i="8"/>
  <c r="M29" i="8"/>
  <c r="F47" i="8"/>
  <c r="F48" i="8"/>
  <c r="M28" i="8"/>
  <c r="C37" i="8"/>
  <c r="C38" i="8"/>
  <c r="M27" i="8"/>
  <c r="C32" i="8"/>
  <c r="C33" i="8"/>
  <c r="C34" i="8"/>
  <c r="C35" i="8"/>
  <c r="M26" i="8"/>
  <c r="I33" i="8"/>
  <c r="I34" i="8"/>
  <c r="I35" i="8"/>
  <c r="I36" i="8"/>
  <c r="I37" i="8"/>
  <c r="M25" i="8"/>
  <c r="I31" i="8"/>
  <c r="M24" i="8"/>
  <c r="F42" i="8"/>
  <c r="F43" i="8"/>
  <c r="F44" i="8"/>
  <c r="M23" i="8"/>
  <c r="F37" i="8"/>
  <c r="F38" i="8"/>
  <c r="F39" i="8"/>
  <c r="F40" i="8"/>
  <c r="M22" i="8"/>
  <c r="F35" i="8"/>
  <c r="M21" i="8"/>
  <c r="C28" i="8"/>
  <c r="M20" i="8"/>
  <c r="C23" i="8"/>
  <c r="C24" i="8"/>
  <c r="C25" i="8"/>
  <c r="C26" i="8"/>
  <c r="M19" i="8"/>
  <c r="M17" i="8"/>
  <c r="C17" i="8"/>
  <c r="C18" i="8"/>
  <c r="C19" i="8"/>
  <c r="C20" i="8"/>
  <c r="C21" i="8"/>
  <c r="M15" i="8"/>
  <c r="F27" i="8"/>
  <c r="F28" i="8"/>
  <c r="F30" i="8"/>
  <c r="M16" i="8"/>
  <c r="N17" i="8"/>
  <c r="N18" i="8"/>
  <c r="I22" i="8"/>
  <c r="I23" i="8"/>
  <c r="I24" i="8"/>
  <c r="M14" i="8"/>
  <c r="I11" i="8"/>
  <c r="I12" i="8"/>
  <c r="I13" i="8"/>
  <c r="I14" i="8"/>
  <c r="I17" i="8"/>
  <c r="I18" i="8"/>
  <c r="M13" i="8"/>
  <c r="I20" i="8"/>
  <c r="M12" i="8"/>
  <c r="F23" i="8"/>
  <c r="F24" i="8"/>
  <c r="M11" i="8"/>
  <c r="F18" i="8"/>
  <c r="F19" i="8"/>
  <c r="F20" i="8"/>
  <c r="F21" i="8"/>
  <c r="M10" i="8"/>
  <c r="F14" i="8"/>
  <c r="F15" i="8"/>
  <c r="F16" i="8"/>
  <c r="M9" i="8"/>
  <c r="C11" i="8"/>
  <c r="C12" i="8"/>
  <c r="C13" i="8"/>
  <c r="C14" i="8"/>
  <c r="C15" i="8"/>
  <c r="M7" i="8"/>
  <c r="M5" i="8"/>
  <c r="C4" i="8"/>
  <c r="C6" i="8"/>
  <c r="C7" i="8"/>
  <c r="C9" i="8"/>
  <c r="M2" i="8"/>
  <c r="F4" i="8"/>
  <c r="F6" i="8"/>
  <c r="F7" i="8"/>
  <c r="M3" i="8"/>
  <c r="M4" i="8"/>
  <c r="N5" i="8"/>
  <c r="N6" i="8"/>
  <c r="I46" i="8"/>
  <c r="I39" i="7"/>
  <c r="I7" i="7"/>
  <c r="I6" i="7"/>
  <c r="I38" i="8"/>
  <c r="I38" i="7"/>
  <c r="I36" i="7"/>
  <c r="I35" i="7"/>
  <c r="I34" i="7"/>
  <c r="I5" i="7"/>
  <c r="I22" i="7"/>
  <c r="I25" i="8"/>
  <c r="I7" i="8"/>
  <c r="I32" i="7"/>
  <c r="I21" i="7"/>
  <c r="I28" i="7"/>
  <c r="F56" i="8"/>
  <c r="F42" i="7"/>
  <c r="F41" i="7"/>
  <c r="F27" i="7"/>
  <c r="F37" i="7"/>
  <c r="F15" i="7"/>
  <c r="F25" i="8"/>
  <c r="F33" i="8"/>
  <c r="F14" i="7"/>
  <c r="F12" i="7"/>
  <c r="F11" i="7"/>
  <c r="F36" i="7"/>
  <c r="F35" i="7"/>
  <c r="F22" i="7"/>
  <c r="F9" i="7"/>
  <c r="F4" i="7"/>
  <c r="F5" i="7"/>
  <c r="F6" i="7"/>
  <c r="F7" i="7"/>
  <c r="F8" i="7"/>
  <c r="F10" i="7"/>
  <c r="F13" i="7"/>
  <c r="F16" i="7"/>
  <c r="F17" i="7"/>
  <c r="F18" i="7"/>
  <c r="F12" i="8"/>
  <c r="F21" i="7"/>
  <c r="C39" i="8"/>
  <c r="C28" i="7"/>
  <c r="C21" i="7"/>
  <c r="C20" i="7"/>
  <c r="C29" i="8"/>
  <c r="C4" i="7"/>
  <c r="C5" i="7"/>
  <c r="C6" i="7"/>
  <c r="C7" i="7"/>
  <c r="C8" i="7"/>
  <c r="C9" i="7"/>
  <c r="C10" i="7"/>
  <c r="C11" i="7"/>
  <c r="C12" i="7"/>
  <c r="C13" i="7"/>
  <c r="C14" i="7"/>
  <c r="C15" i="7"/>
  <c r="C16" i="7"/>
  <c r="C17" i="7"/>
  <c r="C18" i="7"/>
  <c r="C19" i="7"/>
  <c r="C22" i="7"/>
  <c r="C23" i="7"/>
  <c r="N3" i="7"/>
  <c r="C25" i="7"/>
  <c r="N4" i="7"/>
  <c r="C29" i="7"/>
  <c r="C30" i="7"/>
  <c r="N5" i="7"/>
  <c r="N6" i="7"/>
  <c r="F23" i="7"/>
  <c r="F24" i="7"/>
  <c r="F25" i="7"/>
  <c r="F26" i="7"/>
  <c r="F28" i="7"/>
  <c r="F29" i="7"/>
  <c r="F30" i="7"/>
  <c r="F31" i="7"/>
  <c r="F32" i="7"/>
  <c r="N7" i="7"/>
  <c r="F38" i="7"/>
  <c r="F39" i="7"/>
  <c r="F40" i="7"/>
  <c r="F43" i="7"/>
  <c r="F44" i="7"/>
  <c r="N8" i="7"/>
  <c r="I26" i="7"/>
  <c r="I27" i="7"/>
  <c r="I29" i="7"/>
  <c r="I30" i="7"/>
  <c r="I31" i="7"/>
  <c r="I33" i="7"/>
  <c r="I37" i="7"/>
  <c r="I40" i="7"/>
  <c r="I41" i="7"/>
  <c r="I42" i="7"/>
  <c r="N9" i="7"/>
  <c r="I4" i="7"/>
  <c r="I8" i="7"/>
  <c r="N10" i="7"/>
  <c r="I15" i="7"/>
  <c r="I16" i="7"/>
  <c r="I17" i="7"/>
  <c r="I18" i="7"/>
  <c r="N11" i="7"/>
  <c r="I12" i="7"/>
  <c r="N12" i="7"/>
  <c r="I23" i="7"/>
  <c r="N13" i="7"/>
  <c r="N14" i="7"/>
  <c r="O13" i="7"/>
  <c r="O12" i="7"/>
  <c r="O11" i="7"/>
  <c r="F45" i="8"/>
  <c r="N32" i="8"/>
  <c r="U32" i="8"/>
  <c r="T32" i="8"/>
  <c r="N31" i="8"/>
  <c r="T30" i="8"/>
  <c r="S30" i="8"/>
  <c r="N30" i="8"/>
  <c r="U29" i="8"/>
  <c r="T29" i="8"/>
  <c r="S29" i="8"/>
  <c r="N29" i="8"/>
  <c r="N28" i="8"/>
  <c r="N27" i="8"/>
  <c r="N26" i="8"/>
  <c r="U25" i="8"/>
  <c r="T25" i="8"/>
  <c r="S25" i="8"/>
  <c r="N25" i="8"/>
  <c r="T24" i="8"/>
  <c r="N24" i="8"/>
  <c r="U23" i="8"/>
  <c r="T23" i="8"/>
  <c r="S23" i="8"/>
  <c r="N23" i="8"/>
  <c r="N22" i="8"/>
  <c r="N21" i="8"/>
  <c r="N20" i="8"/>
  <c r="N19" i="8"/>
  <c r="N16" i="8"/>
  <c r="N15" i="8"/>
  <c r="N14" i="8"/>
  <c r="N13" i="8"/>
  <c r="N12" i="8"/>
  <c r="N11" i="8"/>
  <c r="N10" i="8"/>
  <c r="N9" i="8"/>
  <c r="N7" i="8"/>
  <c r="U4" i="8"/>
  <c r="T4" i="8"/>
  <c r="N4" i="8"/>
  <c r="T3" i="8"/>
  <c r="S3" i="8"/>
  <c r="N3" i="8"/>
  <c r="N2" i="8"/>
  <c r="O10" i="7"/>
  <c r="O9" i="7"/>
  <c r="O8" i="7"/>
  <c r="O7" i="7"/>
  <c r="O6" i="7"/>
  <c r="O5" i="7"/>
  <c r="O4" i="7"/>
  <c r="O3" i="7"/>
  <c r="Z53" i="1"/>
  <c r="Z45" i="1"/>
  <c r="Z38" i="1"/>
  <c r="Z34" i="1"/>
  <c r="Z29" i="1"/>
  <c r="Z23" i="1"/>
  <c r="Z21" i="1"/>
  <c r="Z15" i="1"/>
  <c r="Z6" i="1"/>
  <c r="Z20" i="5"/>
  <c r="V19" i="5"/>
  <c r="V20" i="5"/>
  <c r="Q20" i="5"/>
  <c r="L20" i="5"/>
  <c r="G19" i="5"/>
  <c r="G20" i="5"/>
  <c r="AI19" i="6"/>
  <c r="M20" i="6"/>
  <c r="AI20" i="6"/>
  <c r="AC19" i="6"/>
  <c r="AC20" i="6"/>
  <c r="W19" i="6"/>
  <c r="W20" i="6"/>
  <c r="R20" i="6"/>
  <c r="M19" i="6"/>
  <c r="G19" i="6"/>
  <c r="G20" i="6"/>
  <c r="D4" i="6"/>
  <c r="G4" i="6"/>
  <c r="M4" i="6"/>
  <c r="P4" i="6"/>
  <c r="R4" i="6"/>
  <c r="U4" i="6"/>
  <c r="W4" i="6"/>
  <c r="Y4" i="6"/>
  <c r="Z4" i="6"/>
  <c r="AC4" i="6"/>
  <c r="AI4" i="6"/>
  <c r="D5" i="6"/>
  <c r="G5" i="6"/>
  <c r="J5" i="6"/>
  <c r="M5" i="6"/>
  <c r="P5" i="6"/>
  <c r="R5" i="6"/>
  <c r="U5" i="6"/>
  <c r="W5" i="6"/>
  <c r="Z5" i="6"/>
  <c r="AC5" i="6"/>
  <c r="AI5" i="6"/>
  <c r="D6" i="6"/>
  <c r="G6" i="6"/>
  <c r="J6" i="6"/>
  <c r="M6" i="6"/>
  <c r="P6" i="6"/>
  <c r="R6" i="6"/>
  <c r="U6" i="6"/>
  <c r="W6" i="6"/>
  <c r="Z6" i="6"/>
  <c r="AC6" i="6"/>
  <c r="AI6" i="6"/>
  <c r="D7" i="6"/>
  <c r="G7" i="6"/>
  <c r="J7" i="6"/>
  <c r="M7" i="6"/>
  <c r="P7" i="6"/>
  <c r="R7" i="6"/>
  <c r="U7" i="6"/>
  <c r="W7" i="6"/>
  <c r="Z7" i="6"/>
  <c r="AC7" i="6"/>
  <c r="AI7" i="6"/>
  <c r="D8" i="6"/>
  <c r="G8" i="6"/>
  <c r="M8" i="6"/>
  <c r="P8" i="6"/>
  <c r="R8" i="6"/>
  <c r="U8" i="6"/>
  <c r="W8" i="6"/>
  <c r="Z8" i="6"/>
  <c r="AC8" i="6"/>
  <c r="AI8" i="6"/>
  <c r="D9" i="6"/>
  <c r="G9" i="6"/>
  <c r="J9" i="6"/>
  <c r="M9" i="6"/>
  <c r="P9" i="6"/>
  <c r="R9" i="6"/>
  <c r="U9" i="6"/>
  <c r="W9" i="6"/>
  <c r="Z9" i="6"/>
  <c r="AC9" i="6"/>
  <c r="AI9" i="6"/>
  <c r="D10" i="6"/>
  <c r="G10" i="6"/>
  <c r="M10" i="6"/>
  <c r="P10" i="6"/>
  <c r="R10" i="6"/>
  <c r="U10" i="6"/>
  <c r="W10" i="6"/>
  <c r="Z10" i="6"/>
  <c r="AC10" i="6"/>
  <c r="AI10" i="6"/>
  <c r="D11" i="6"/>
  <c r="G11" i="6"/>
  <c r="J11" i="6"/>
  <c r="M11" i="6"/>
  <c r="P11" i="6"/>
  <c r="R11" i="6"/>
  <c r="U11" i="6"/>
  <c r="W11" i="6"/>
  <c r="Z11" i="6"/>
  <c r="AC11" i="6"/>
  <c r="AI11" i="6"/>
  <c r="D12" i="6"/>
  <c r="G12" i="6"/>
  <c r="M12" i="6"/>
  <c r="P12" i="6"/>
  <c r="R12" i="6"/>
  <c r="U12" i="6"/>
  <c r="W12" i="6"/>
  <c r="Z12" i="6"/>
  <c r="AC12" i="6"/>
  <c r="AI12" i="6"/>
  <c r="D13" i="6"/>
  <c r="G13" i="6"/>
  <c r="J13" i="6"/>
  <c r="M13" i="6"/>
  <c r="P13" i="6"/>
  <c r="R13" i="6"/>
  <c r="U13" i="6"/>
  <c r="W13" i="6"/>
  <c r="Z13" i="6"/>
  <c r="AC13" i="6"/>
  <c r="AI13" i="6"/>
  <c r="D14" i="6"/>
  <c r="G14" i="6"/>
  <c r="M14" i="6"/>
  <c r="P14" i="6"/>
  <c r="R14" i="6"/>
  <c r="U14" i="6"/>
  <c r="W14" i="6"/>
  <c r="Z14" i="6"/>
  <c r="AC14" i="6"/>
  <c r="AI14" i="6"/>
  <c r="D15" i="6"/>
  <c r="G15" i="6"/>
  <c r="J15" i="6"/>
  <c r="M15" i="6"/>
  <c r="P15" i="6"/>
  <c r="R15" i="6"/>
  <c r="U15" i="6"/>
  <c r="W15" i="6"/>
  <c r="Z15" i="6"/>
  <c r="AC15" i="6"/>
  <c r="AI15" i="6"/>
  <c r="D16" i="6"/>
  <c r="G16" i="6"/>
  <c r="M16" i="6"/>
  <c r="P16" i="6"/>
  <c r="R16" i="6"/>
  <c r="U16" i="6"/>
  <c r="W16" i="6"/>
  <c r="Z16" i="6"/>
  <c r="AC16" i="6"/>
  <c r="AI16" i="6"/>
  <c r="D17" i="6"/>
  <c r="G17" i="6"/>
  <c r="J17" i="6"/>
  <c r="M17" i="6"/>
  <c r="P17" i="6"/>
  <c r="R17" i="6"/>
  <c r="U17" i="6"/>
  <c r="W17" i="6"/>
  <c r="Z17" i="6"/>
  <c r="AC17" i="6"/>
  <c r="AI17" i="6"/>
  <c r="G18" i="6"/>
  <c r="M18" i="6"/>
  <c r="AC18" i="6"/>
  <c r="D4" i="5"/>
  <c r="F4" i="5"/>
  <c r="G4" i="5"/>
  <c r="L4" i="5"/>
  <c r="O4" i="5"/>
  <c r="P4" i="5"/>
  <c r="Q4" i="5"/>
  <c r="T4" i="5"/>
  <c r="U4" i="5"/>
  <c r="V4" i="5"/>
  <c r="Z4" i="5"/>
  <c r="D5" i="5"/>
  <c r="F5" i="5"/>
  <c r="G5" i="5"/>
  <c r="L5" i="5"/>
  <c r="O5" i="5"/>
  <c r="P5" i="5"/>
  <c r="Q5" i="5"/>
  <c r="T5" i="5"/>
  <c r="U5" i="5"/>
  <c r="V5" i="5"/>
  <c r="Z5" i="5"/>
  <c r="D6" i="5"/>
  <c r="F6" i="5"/>
  <c r="G6" i="5"/>
  <c r="L6" i="5"/>
  <c r="O6" i="5"/>
  <c r="P6" i="5"/>
  <c r="Q6" i="5"/>
  <c r="T6" i="5"/>
  <c r="U6" i="5"/>
  <c r="V6" i="5"/>
  <c r="Z6" i="5"/>
  <c r="F7" i="5"/>
  <c r="G7" i="5"/>
  <c r="L7" i="5"/>
  <c r="O7" i="5"/>
  <c r="P7" i="5"/>
  <c r="Q7" i="5"/>
  <c r="T7" i="5"/>
  <c r="U7" i="5"/>
  <c r="V7" i="5"/>
  <c r="Z7" i="5"/>
  <c r="D8" i="5"/>
  <c r="F8" i="5"/>
  <c r="G8" i="5"/>
  <c r="L8" i="5"/>
  <c r="O8" i="5"/>
  <c r="P8" i="5"/>
  <c r="Q8" i="5"/>
  <c r="U8" i="5"/>
  <c r="V8" i="5"/>
  <c r="Z8" i="5"/>
  <c r="D9" i="5"/>
  <c r="F9" i="5"/>
  <c r="G9" i="5"/>
  <c r="L9" i="5"/>
  <c r="O9" i="5"/>
  <c r="P9" i="5"/>
  <c r="Q9" i="5"/>
  <c r="T9" i="5"/>
  <c r="U9" i="5"/>
  <c r="V9" i="5"/>
  <c r="Z9" i="5"/>
  <c r="F10" i="5"/>
  <c r="G10" i="5"/>
  <c r="L10" i="5"/>
  <c r="O10" i="5"/>
  <c r="Q10" i="5"/>
  <c r="T10" i="5"/>
  <c r="V10" i="5"/>
  <c r="Z10" i="5"/>
  <c r="F11" i="5"/>
  <c r="G11" i="5"/>
  <c r="L11" i="5"/>
  <c r="O11" i="5"/>
  <c r="Q11" i="5"/>
  <c r="T11" i="5"/>
  <c r="V11" i="5"/>
  <c r="Z11" i="5"/>
  <c r="F12" i="5"/>
  <c r="G12" i="5"/>
  <c r="L12" i="5"/>
  <c r="O12" i="5"/>
  <c r="Q12" i="5"/>
  <c r="T12" i="5"/>
  <c r="V12" i="5"/>
  <c r="Z12" i="5"/>
  <c r="F13" i="5"/>
  <c r="G13" i="5"/>
  <c r="L13" i="5"/>
  <c r="O13" i="5"/>
  <c r="Q13" i="5"/>
  <c r="T13" i="5"/>
  <c r="V13" i="5"/>
  <c r="Z13" i="5"/>
  <c r="F14" i="5"/>
  <c r="G14" i="5"/>
  <c r="L14" i="5"/>
  <c r="O14" i="5"/>
  <c r="Q14" i="5"/>
  <c r="T14" i="5"/>
  <c r="V14" i="5"/>
  <c r="Z14" i="5"/>
  <c r="F15" i="5"/>
  <c r="G15" i="5"/>
  <c r="L15" i="5"/>
  <c r="O15" i="5"/>
  <c r="Q15" i="5"/>
  <c r="T15" i="5"/>
  <c r="V15" i="5"/>
  <c r="Z15" i="5"/>
  <c r="G16" i="5"/>
  <c r="L16" i="5"/>
  <c r="O16" i="5"/>
  <c r="Q16" i="5"/>
  <c r="T16" i="5"/>
  <c r="V16" i="5"/>
  <c r="Z16" i="5"/>
  <c r="C17" i="5"/>
  <c r="E17" i="5"/>
  <c r="G17" i="5"/>
  <c r="I17" i="5"/>
  <c r="L17" i="5"/>
  <c r="O17" i="5"/>
  <c r="Q17" i="5"/>
  <c r="T17" i="5"/>
  <c r="V17" i="5"/>
  <c r="Z17" i="5"/>
  <c r="G18" i="5"/>
  <c r="I18" i="5"/>
  <c r="L18" i="5"/>
  <c r="Q18" i="5"/>
  <c r="V18" i="5"/>
  <c r="Z18" i="5"/>
</calcChain>
</file>

<file path=xl/comments1.xml><?xml version="1.0" encoding="utf-8"?>
<comments xmlns="http://schemas.openxmlformats.org/spreadsheetml/2006/main">
  <authors>
    <author>pedro.veiga</author>
    <author>Nicole Portley</author>
  </authors>
  <commentList>
    <comment ref="Y5" authorId="0">
      <text>
        <r>
          <rPr>
            <b/>
            <sz val="9"/>
            <color indexed="81"/>
            <rFont val="Tahoma"/>
            <family val="2"/>
          </rPr>
          <t>pedro.veiga:</t>
        </r>
        <r>
          <rPr>
            <sz val="9"/>
            <color indexed="81"/>
            <rFont val="Tahoma"/>
            <family val="2"/>
          </rPr>
          <t xml:space="preserve">
</t>
        </r>
        <r>
          <rPr>
            <b/>
            <sz val="9"/>
            <color indexed="81"/>
            <rFont val="Tahoma"/>
            <family val="2"/>
          </rPr>
          <t>Category A</t>
        </r>
        <r>
          <rPr>
            <sz val="9"/>
            <color indexed="81"/>
            <rFont val="Tahoma"/>
            <family val="2"/>
          </rPr>
          <t xml:space="preserve"> - All scores ≥ 8
</t>
        </r>
        <r>
          <rPr>
            <b/>
            <sz val="9"/>
            <color indexed="81"/>
            <rFont val="Tahoma"/>
            <family val="2"/>
          </rPr>
          <t>Category B</t>
        </r>
        <r>
          <rPr>
            <sz val="9"/>
            <color indexed="81"/>
            <rFont val="Tahoma"/>
            <family val="2"/>
          </rPr>
          <t xml:space="preserve"> - All scores ≥ 6
</t>
        </r>
        <r>
          <rPr>
            <b/>
            <sz val="9"/>
            <color indexed="81"/>
            <rFont val="Tahoma"/>
            <family val="2"/>
          </rPr>
          <t>Category C</t>
        </r>
        <r>
          <rPr>
            <sz val="9"/>
            <color indexed="81"/>
            <rFont val="Tahoma"/>
            <family val="2"/>
          </rPr>
          <t xml:space="preserve"> - One or more scores &lt; 6</t>
        </r>
      </text>
    </comment>
    <comment ref="S10" authorId="1">
      <text>
        <r>
          <rPr>
            <b/>
            <sz val="9"/>
            <color indexed="81"/>
            <rFont val="Calibri"/>
            <family val="2"/>
          </rPr>
          <t>Nicole Portley:</t>
        </r>
        <r>
          <rPr>
            <sz val="9"/>
            <color indexed="81"/>
            <rFont val="Calibri"/>
            <family val="2"/>
          </rPr>
          <t xml:space="preserve">
Estimate of average hatchery contribution (tagged and untagged releases) to harvest in 2010–2011</t>
        </r>
      </text>
    </comment>
    <comment ref="S24" authorId="1">
      <text>
        <r>
          <rPr>
            <b/>
            <sz val="9"/>
            <color indexed="81"/>
            <rFont val="Calibri"/>
            <family val="2"/>
          </rPr>
          <t>Nicole Portley:</t>
        </r>
        <r>
          <rPr>
            <sz val="9"/>
            <color indexed="81"/>
            <rFont val="Calibri"/>
            <family val="2"/>
          </rPr>
          <t xml:space="preserve">
2% overall, but 16% (of SE Kamchatka portion of fishery, hence yellow score)</t>
        </r>
      </text>
    </comment>
  </commentList>
</comments>
</file>

<file path=xl/comments2.xml><?xml version="1.0" encoding="utf-8"?>
<comments xmlns="http://schemas.openxmlformats.org/spreadsheetml/2006/main">
  <authors>
    <author>pedro.veiga</author>
    <author>Christie Hendrich</author>
  </authors>
  <commentList>
    <comment ref="I3" authorId="0">
      <text>
        <r>
          <rPr>
            <b/>
            <sz val="9"/>
            <color indexed="81"/>
            <rFont val="Tahoma"/>
            <family val="2"/>
          </rPr>
          <t>pedro.veiga:</t>
        </r>
        <r>
          <rPr>
            <sz val="9"/>
            <color indexed="81"/>
            <rFont val="Tahoma"/>
            <family val="2"/>
          </rPr>
          <t xml:space="preserve">
</t>
        </r>
        <r>
          <rPr>
            <b/>
            <sz val="9"/>
            <color indexed="81"/>
            <rFont val="Tahoma"/>
            <family val="2"/>
          </rPr>
          <t>Category A</t>
        </r>
        <r>
          <rPr>
            <sz val="9"/>
            <color indexed="81"/>
            <rFont val="Tahoma"/>
            <family val="2"/>
          </rPr>
          <t xml:space="preserve"> - All scores ≥ 8
</t>
        </r>
        <r>
          <rPr>
            <b/>
            <sz val="9"/>
            <color indexed="81"/>
            <rFont val="Tahoma"/>
            <family val="2"/>
          </rPr>
          <t>Category B</t>
        </r>
        <r>
          <rPr>
            <sz val="9"/>
            <color indexed="81"/>
            <rFont val="Tahoma"/>
            <family val="2"/>
          </rPr>
          <t xml:space="preserve"> - All scores ≥ 6
</t>
        </r>
        <r>
          <rPr>
            <b/>
            <sz val="9"/>
            <color indexed="81"/>
            <rFont val="Tahoma"/>
            <family val="2"/>
          </rPr>
          <t>Category C</t>
        </r>
        <r>
          <rPr>
            <sz val="9"/>
            <color indexed="81"/>
            <rFont val="Tahoma"/>
            <family val="2"/>
          </rPr>
          <t xml:space="preserve"> - One or more scores &lt; 6</t>
        </r>
      </text>
    </comment>
    <comment ref="L6" authorId="1">
      <text>
        <r>
          <rPr>
            <b/>
            <sz val="9"/>
            <color indexed="81"/>
            <rFont val="Calibri"/>
            <family val="2"/>
          </rPr>
          <t>Christie Hendrich:</t>
        </r>
        <r>
          <rPr>
            <sz val="9"/>
            <color indexed="81"/>
            <rFont val="Calibri"/>
            <family val="2"/>
          </rPr>
          <t xml:space="preserve">
Based on 2011-2012 data</t>
        </r>
      </text>
    </comment>
  </commentList>
</comments>
</file>

<file path=xl/comments3.xml><?xml version="1.0" encoding="utf-8"?>
<comments xmlns="http://schemas.openxmlformats.org/spreadsheetml/2006/main">
  <authors>
    <author>Pedro Sousa</author>
    <author>Nicole Portley</author>
  </authors>
  <commentList>
    <comment ref="I79" authorId="0">
      <text>
        <r>
          <rPr>
            <b/>
            <sz val="9"/>
            <color indexed="81"/>
            <rFont val="Tahoma"/>
            <family val="2"/>
          </rPr>
          <t>Pedro Sousa:</t>
        </r>
        <r>
          <rPr>
            <sz val="9"/>
            <color indexed="81"/>
            <rFont val="Tahoma"/>
            <family val="2"/>
          </rPr>
          <t xml:space="preserve">
not yet available</t>
        </r>
      </text>
    </comment>
    <comment ref="I86" authorId="1">
      <text>
        <r>
          <rPr>
            <b/>
            <sz val="9"/>
            <color indexed="81"/>
            <rFont val="Calibri"/>
            <family val="2"/>
          </rPr>
          <t>Nicole Portley:</t>
        </r>
        <r>
          <rPr>
            <sz val="9"/>
            <color indexed="81"/>
            <rFont val="Calibri"/>
            <family val="2"/>
          </rPr>
          <t xml:space="preserve">
2011 data</t>
        </r>
      </text>
    </comment>
    <comment ref="I87" authorId="1">
      <text>
        <r>
          <rPr>
            <b/>
            <sz val="9"/>
            <color indexed="81"/>
            <rFont val="Calibri"/>
            <family val="2"/>
          </rPr>
          <t>Nicole Portley:</t>
        </r>
        <r>
          <rPr>
            <sz val="9"/>
            <color indexed="81"/>
            <rFont val="Calibri"/>
            <family val="2"/>
          </rPr>
          <t xml:space="preserve">
2011 data</t>
        </r>
      </text>
    </comment>
    <comment ref="I88" authorId="1">
      <text>
        <r>
          <rPr>
            <b/>
            <sz val="9"/>
            <color indexed="81"/>
            <rFont val="Calibri"/>
            <family val="2"/>
          </rPr>
          <t>Nicole Portley:</t>
        </r>
        <r>
          <rPr>
            <sz val="9"/>
            <color indexed="81"/>
            <rFont val="Calibri"/>
            <family val="2"/>
          </rPr>
          <t xml:space="preserve">
2011 data</t>
        </r>
      </text>
    </comment>
    <comment ref="I89" authorId="1">
      <text>
        <r>
          <rPr>
            <b/>
            <sz val="9"/>
            <color indexed="81"/>
            <rFont val="Calibri"/>
            <family val="2"/>
          </rPr>
          <t>Nicole Portley:</t>
        </r>
        <r>
          <rPr>
            <sz val="9"/>
            <color indexed="81"/>
            <rFont val="Calibri"/>
            <family val="2"/>
          </rPr>
          <t xml:space="preserve">
2011 data</t>
        </r>
      </text>
    </comment>
    <comment ref="I90" authorId="1">
      <text>
        <r>
          <rPr>
            <b/>
            <sz val="9"/>
            <color indexed="81"/>
            <rFont val="Calibri"/>
            <family val="2"/>
          </rPr>
          <t>Nicole Portley:</t>
        </r>
        <r>
          <rPr>
            <sz val="9"/>
            <color indexed="81"/>
            <rFont val="Calibri"/>
            <family val="2"/>
          </rPr>
          <t xml:space="preserve">
2011 data</t>
        </r>
      </text>
    </comment>
    <comment ref="I91" authorId="1">
      <text>
        <r>
          <rPr>
            <b/>
            <sz val="9"/>
            <color indexed="81"/>
            <rFont val="Calibri"/>
            <family val="2"/>
          </rPr>
          <t>Nicole Portley:</t>
        </r>
        <r>
          <rPr>
            <sz val="9"/>
            <color indexed="81"/>
            <rFont val="Calibri"/>
            <family val="2"/>
          </rPr>
          <t xml:space="preserve">
2011 data</t>
        </r>
      </text>
    </comment>
    <comment ref="I92" authorId="1">
      <text>
        <r>
          <rPr>
            <b/>
            <sz val="9"/>
            <color indexed="81"/>
            <rFont val="Calibri"/>
            <family val="2"/>
          </rPr>
          <t>Nicole Portley:</t>
        </r>
        <r>
          <rPr>
            <sz val="9"/>
            <color indexed="81"/>
            <rFont val="Calibri"/>
            <family val="2"/>
          </rPr>
          <t xml:space="preserve">
2011 data</t>
        </r>
      </text>
    </comment>
    <comment ref="I93" authorId="1">
      <text>
        <r>
          <rPr>
            <b/>
            <sz val="9"/>
            <color indexed="81"/>
            <rFont val="Calibri"/>
            <family val="2"/>
          </rPr>
          <t>Nicole Portley:</t>
        </r>
        <r>
          <rPr>
            <sz val="9"/>
            <color indexed="81"/>
            <rFont val="Calibri"/>
            <family val="2"/>
          </rPr>
          <t xml:space="preserve">
2012 data</t>
        </r>
      </text>
    </comment>
    <comment ref="I105" authorId="1">
      <text>
        <r>
          <rPr>
            <b/>
            <sz val="9"/>
            <color indexed="81"/>
            <rFont val="Calibri"/>
            <family val="2"/>
          </rPr>
          <t>Nicole Portley:</t>
        </r>
        <r>
          <rPr>
            <sz val="9"/>
            <color indexed="81"/>
            <rFont val="Calibri"/>
            <family val="2"/>
          </rPr>
          <t xml:space="preserve">
this and next six points: 2011 data</t>
        </r>
      </text>
    </comment>
    <comment ref="I124" authorId="1">
      <text>
        <r>
          <rPr>
            <b/>
            <sz val="9"/>
            <color indexed="81"/>
            <rFont val="Calibri"/>
            <family val="2"/>
          </rPr>
          <t>Nicole Portley:</t>
        </r>
        <r>
          <rPr>
            <sz val="9"/>
            <color indexed="81"/>
            <rFont val="Calibri"/>
            <family val="2"/>
          </rPr>
          <t xml:space="preserve">
This point and the next four: 2012 data</t>
        </r>
      </text>
    </comment>
    <comment ref="I135" authorId="1">
      <text>
        <r>
          <rPr>
            <b/>
            <sz val="9"/>
            <color indexed="81"/>
            <rFont val="Calibri"/>
            <family val="2"/>
          </rPr>
          <t>Nicole Portley:</t>
        </r>
        <r>
          <rPr>
            <sz val="9"/>
            <color indexed="81"/>
            <rFont val="Calibri"/>
            <family val="2"/>
          </rPr>
          <t xml:space="preserve">
This and the next 11 data points: 2011 data. Used average fish weight of 2009 and 2010 seasons (2011 data not available)</t>
        </r>
      </text>
    </comment>
    <comment ref="G153" authorId="1">
      <text>
        <r>
          <rPr>
            <b/>
            <sz val="9"/>
            <color indexed="81"/>
            <rFont val="Calibri"/>
            <family val="2"/>
          </rPr>
          <t>Nicole Portley:</t>
        </r>
        <r>
          <rPr>
            <sz val="9"/>
            <color indexed="81"/>
            <rFont val="Calibri"/>
            <family val="2"/>
          </rPr>
          <t xml:space="preserve">
only 9 years of data</t>
        </r>
      </text>
    </comment>
    <comment ref="G154" authorId="1">
      <text>
        <r>
          <rPr>
            <b/>
            <sz val="9"/>
            <color indexed="81"/>
            <rFont val="Calibri"/>
            <family val="2"/>
          </rPr>
          <t>Nicole Portley:</t>
        </r>
        <r>
          <rPr>
            <sz val="9"/>
            <color indexed="81"/>
            <rFont val="Calibri"/>
            <family val="2"/>
          </rPr>
          <t xml:space="preserve">
11 years of data only</t>
        </r>
      </text>
    </comment>
    <comment ref="H154" authorId="1">
      <text>
        <r>
          <rPr>
            <b/>
            <sz val="9"/>
            <color indexed="81"/>
            <rFont val="Calibri"/>
            <family val="2"/>
          </rPr>
          <t>Nicole Portley:</t>
        </r>
        <r>
          <rPr>
            <sz val="9"/>
            <color indexed="81"/>
            <rFont val="Calibri"/>
            <family val="2"/>
          </rPr>
          <t xml:space="preserve">
11 years of data only</t>
        </r>
      </text>
    </comment>
    <comment ref="G156" authorId="1">
      <text>
        <r>
          <rPr>
            <b/>
            <sz val="9"/>
            <color indexed="81"/>
            <rFont val="Calibri"/>
            <family val="2"/>
          </rPr>
          <t>Nicole Portley:</t>
        </r>
        <r>
          <rPr>
            <sz val="9"/>
            <color indexed="81"/>
            <rFont val="Calibri"/>
            <family val="2"/>
          </rPr>
          <t xml:space="preserve">
only 9 years of data</t>
        </r>
      </text>
    </comment>
    <comment ref="G159" authorId="1">
      <text>
        <r>
          <rPr>
            <b/>
            <sz val="9"/>
            <color indexed="81"/>
            <rFont val="Calibri"/>
            <family val="2"/>
          </rPr>
          <t>Nicole Portley:</t>
        </r>
        <r>
          <rPr>
            <sz val="9"/>
            <color indexed="81"/>
            <rFont val="Calibri"/>
            <family val="2"/>
          </rPr>
          <t xml:space="preserve">
only 9 years of data</t>
        </r>
      </text>
    </comment>
    <comment ref="G163" authorId="1">
      <text>
        <r>
          <rPr>
            <b/>
            <sz val="9"/>
            <color indexed="81"/>
            <rFont val="Calibri"/>
            <family val="2"/>
          </rPr>
          <t>Nicole Portley:</t>
        </r>
        <r>
          <rPr>
            <sz val="9"/>
            <color indexed="81"/>
            <rFont val="Calibri"/>
            <family val="2"/>
          </rPr>
          <t xml:space="preserve">
only 9 years of data</t>
        </r>
      </text>
    </comment>
    <comment ref="I164" authorId="1">
      <text>
        <r>
          <rPr>
            <b/>
            <sz val="9"/>
            <color indexed="81"/>
            <rFont val="Calibri"/>
            <family val="2"/>
          </rPr>
          <t>Nicole Portley:</t>
        </r>
        <r>
          <rPr>
            <sz val="9"/>
            <color indexed="81"/>
            <rFont val="Calibri"/>
            <family val="2"/>
          </rPr>
          <t xml:space="preserve">
2012</t>
        </r>
      </text>
    </comment>
    <comment ref="G166" authorId="1">
      <text>
        <r>
          <rPr>
            <b/>
            <sz val="9"/>
            <color indexed="81"/>
            <rFont val="Calibri"/>
            <family val="2"/>
          </rPr>
          <t>Nicole Portley:</t>
        </r>
        <r>
          <rPr>
            <sz val="9"/>
            <color indexed="81"/>
            <rFont val="Calibri"/>
            <family val="2"/>
          </rPr>
          <t xml:space="preserve">
only 9 years of data</t>
        </r>
      </text>
    </comment>
    <comment ref="H166" authorId="1">
      <text>
        <r>
          <rPr>
            <b/>
            <sz val="9"/>
            <color indexed="81"/>
            <rFont val="Calibri"/>
            <family val="2"/>
          </rPr>
          <t>Nicole Portley:</t>
        </r>
        <r>
          <rPr>
            <sz val="9"/>
            <color indexed="81"/>
            <rFont val="Calibri"/>
            <family val="2"/>
          </rPr>
          <t xml:space="preserve">
only 11 years of data</t>
        </r>
      </text>
    </comment>
    <comment ref="G168" authorId="1">
      <text>
        <r>
          <rPr>
            <b/>
            <sz val="9"/>
            <color indexed="81"/>
            <rFont val="Calibri"/>
            <family val="2"/>
          </rPr>
          <t>Nicole Portley:</t>
        </r>
        <r>
          <rPr>
            <sz val="9"/>
            <color indexed="81"/>
            <rFont val="Calibri"/>
            <family val="2"/>
          </rPr>
          <t xml:space="preserve">
only 9 years of data</t>
        </r>
      </text>
    </comment>
    <comment ref="H168" authorId="1">
      <text>
        <r>
          <rPr>
            <b/>
            <sz val="9"/>
            <color indexed="81"/>
            <rFont val="Calibri"/>
            <family val="2"/>
          </rPr>
          <t>Nicole Portley:</t>
        </r>
        <r>
          <rPr>
            <sz val="9"/>
            <color indexed="81"/>
            <rFont val="Calibri"/>
            <family val="2"/>
          </rPr>
          <t xml:space="preserve">
only 10 years of data</t>
        </r>
      </text>
    </comment>
    <comment ref="G170" authorId="1">
      <text>
        <r>
          <rPr>
            <b/>
            <sz val="9"/>
            <color indexed="81"/>
            <rFont val="Calibri"/>
            <family val="2"/>
          </rPr>
          <t>Nicole Portley:</t>
        </r>
        <r>
          <rPr>
            <sz val="9"/>
            <color indexed="81"/>
            <rFont val="Calibri"/>
            <family val="2"/>
          </rPr>
          <t xml:space="preserve">
only 9 years of data</t>
        </r>
      </text>
    </comment>
    <comment ref="G171" authorId="1">
      <text>
        <r>
          <rPr>
            <b/>
            <sz val="9"/>
            <color indexed="81"/>
            <rFont val="Calibri"/>
            <family val="2"/>
          </rPr>
          <t>Nicole Portley:</t>
        </r>
        <r>
          <rPr>
            <sz val="9"/>
            <color indexed="81"/>
            <rFont val="Calibri"/>
            <family val="2"/>
          </rPr>
          <t xml:space="preserve">
only 9 years of data</t>
        </r>
      </text>
    </comment>
    <comment ref="H171" authorId="1">
      <text>
        <r>
          <rPr>
            <b/>
            <sz val="9"/>
            <color indexed="81"/>
            <rFont val="Calibri"/>
            <family val="2"/>
          </rPr>
          <t>Nicole Portley:</t>
        </r>
        <r>
          <rPr>
            <sz val="9"/>
            <color indexed="81"/>
            <rFont val="Calibri"/>
            <family val="2"/>
          </rPr>
          <t xml:space="preserve">
only 9 years of data</t>
        </r>
      </text>
    </comment>
    <comment ref="G174" authorId="1">
      <text>
        <r>
          <rPr>
            <b/>
            <sz val="9"/>
            <color indexed="81"/>
            <rFont val="Calibri"/>
            <family val="2"/>
          </rPr>
          <t>Nicole Portley:</t>
        </r>
        <r>
          <rPr>
            <sz val="9"/>
            <color indexed="81"/>
            <rFont val="Calibri"/>
            <family val="2"/>
          </rPr>
          <t xml:space="preserve">
only 9 years of data</t>
        </r>
      </text>
    </comment>
    <comment ref="H174" authorId="1">
      <text>
        <r>
          <rPr>
            <b/>
            <sz val="9"/>
            <color indexed="81"/>
            <rFont val="Calibri"/>
            <family val="2"/>
          </rPr>
          <t>Nicole Portley:</t>
        </r>
        <r>
          <rPr>
            <sz val="9"/>
            <color indexed="81"/>
            <rFont val="Calibri"/>
            <family val="2"/>
          </rPr>
          <t xml:space="preserve">
only 10 years of data</t>
        </r>
      </text>
    </comment>
    <comment ref="G176" authorId="1">
      <text>
        <r>
          <rPr>
            <b/>
            <sz val="9"/>
            <color indexed="81"/>
            <rFont val="Calibri"/>
            <family val="2"/>
          </rPr>
          <t>Nicole Portley:</t>
        </r>
        <r>
          <rPr>
            <sz val="9"/>
            <color indexed="81"/>
            <rFont val="Calibri"/>
            <family val="2"/>
          </rPr>
          <t xml:space="preserve">
11 years of data only</t>
        </r>
      </text>
    </comment>
    <comment ref="H176" authorId="1">
      <text>
        <r>
          <rPr>
            <b/>
            <sz val="9"/>
            <color indexed="81"/>
            <rFont val="Calibri"/>
            <family val="2"/>
          </rPr>
          <t>Nicole Portley:</t>
        </r>
        <r>
          <rPr>
            <sz val="9"/>
            <color indexed="81"/>
            <rFont val="Calibri"/>
            <family val="2"/>
          </rPr>
          <t xml:space="preserve">
11 years of data only</t>
        </r>
      </text>
    </comment>
    <comment ref="I176" authorId="1">
      <text>
        <r>
          <rPr>
            <b/>
            <sz val="9"/>
            <color indexed="81"/>
            <rFont val="Calibri"/>
            <family val="2"/>
          </rPr>
          <t>Nicole Portley:</t>
        </r>
        <r>
          <rPr>
            <sz val="9"/>
            <color indexed="81"/>
            <rFont val="Calibri"/>
            <family val="2"/>
          </rPr>
          <t xml:space="preserve">
2012</t>
        </r>
      </text>
    </comment>
    <comment ref="I179" authorId="1">
      <text>
        <r>
          <rPr>
            <b/>
            <sz val="9"/>
            <color indexed="81"/>
            <rFont val="Calibri"/>
            <family val="2"/>
          </rPr>
          <t>Nicole Portley:</t>
        </r>
        <r>
          <rPr>
            <sz val="9"/>
            <color indexed="81"/>
            <rFont val="Calibri"/>
            <family val="2"/>
          </rPr>
          <t xml:space="preserve">
2010 estimate</t>
        </r>
      </text>
    </comment>
    <comment ref="I180" authorId="1">
      <text>
        <r>
          <rPr>
            <b/>
            <sz val="9"/>
            <color indexed="81"/>
            <rFont val="Calibri"/>
            <family val="2"/>
          </rPr>
          <t>Nicole Portley:</t>
        </r>
        <r>
          <rPr>
            <sz val="9"/>
            <color indexed="81"/>
            <rFont val="Calibri"/>
            <family val="2"/>
          </rPr>
          <t xml:space="preserve">
escapement estimates are index, not representative of whole stream. So cannot estimate harvest using exploitation rate.</t>
        </r>
      </text>
    </comment>
    <comment ref="I181" authorId="1">
      <text>
        <r>
          <rPr>
            <b/>
            <sz val="9"/>
            <color indexed="81"/>
            <rFont val="Calibri"/>
            <family val="2"/>
          </rPr>
          <t>Nicole Portley:</t>
        </r>
        <r>
          <rPr>
            <sz val="9"/>
            <color indexed="81"/>
            <rFont val="Calibri"/>
            <family val="2"/>
          </rPr>
          <t xml:space="preserve">
2011 estimate</t>
        </r>
      </text>
    </comment>
    <comment ref="I182" authorId="1">
      <text>
        <r>
          <rPr>
            <b/>
            <sz val="9"/>
            <color indexed="81"/>
            <rFont val="Calibri"/>
            <family val="2"/>
          </rPr>
          <t>Nicole Portley:</t>
        </r>
        <r>
          <rPr>
            <sz val="9"/>
            <color indexed="81"/>
            <rFont val="Calibri"/>
            <family val="2"/>
          </rPr>
          <t xml:space="preserve">
2010 estimate</t>
        </r>
      </text>
    </comment>
    <comment ref="I183" authorId="1">
      <text>
        <r>
          <rPr>
            <b/>
            <sz val="9"/>
            <color indexed="81"/>
            <rFont val="Calibri"/>
            <family val="2"/>
          </rPr>
          <t>Nicole Portley:</t>
        </r>
        <r>
          <rPr>
            <sz val="9"/>
            <color indexed="81"/>
            <rFont val="Calibri"/>
            <family val="2"/>
          </rPr>
          <t xml:space="preserve">
2011 estimate</t>
        </r>
      </text>
    </comment>
    <comment ref="I184" authorId="1">
      <text>
        <r>
          <rPr>
            <b/>
            <sz val="9"/>
            <color indexed="81"/>
            <rFont val="Calibri"/>
            <family val="2"/>
          </rPr>
          <t>Nicole Portley:</t>
        </r>
        <r>
          <rPr>
            <sz val="9"/>
            <color indexed="81"/>
            <rFont val="Calibri"/>
            <family val="2"/>
          </rPr>
          <t xml:space="preserve">
2011 estimate</t>
        </r>
      </text>
    </comment>
    <comment ref="I185" authorId="1">
      <text>
        <r>
          <rPr>
            <b/>
            <sz val="9"/>
            <color indexed="81"/>
            <rFont val="Calibri"/>
            <family val="2"/>
          </rPr>
          <t>Nicole Portley:</t>
        </r>
        <r>
          <rPr>
            <sz val="9"/>
            <color indexed="81"/>
            <rFont val="Calibri"/>
            <family val="2"/>
          </rPr>
          <t xml:space="preserve">
2010 estimate</t>
        </r>
      </text>
    </comment>
    <comment ref="I186" authorId="1">
      <text>
        <r>
          <rPr>
            <b/>
            <sz val="9"/>
            <color indexed="81"/>
            <rFont val="Calibri"/>
            <family val="2"/>
          </rPr>
          <t>Nicole Portley:</t>
        </r>
        <r>
          <rPr>
            <sz val="9"/>
            <color indexed="81"/>
            <rFont val="Calibri"/>
            <family val="2"/>
          </rPr>
          <t xml:space="preserve">
2011 estimate</t>
        </r>
      </text>
    </comment>
    <comment ref="I187" authorId="1">
      <text>
        <r>
          <rPr>
            <b/>
            <sz val="9"/>
            <color indexed="81"/>
            <rFont val="Calibri"/>
            <family val="2"/>
          </rPr>
          <t>Nicole Portley:</t>
        </r>
        <r>
          <rPr>
            <sz val="9"/>
            <color indexed="81"/>
            <rFont val="Calibri"/>
            <family val="2"/>
          </rPr>
          <t xml:space="preserve">
2011 estimate</t>
        </r>
      </text>
    </comment>
    <comment ref="I188" authorId="1">
      <text>
        <r>
          <rPr>
            <b/>
            <sz val="9"/>
            <color indexed="81"/>
            <rFont val="Calibri"/>
            <family val="2"/>
          </rPr>
          <t>Nicole Portley:</t>
        </r>
        <r>
          <rPr>
            <sz val="9"/>
            <color indexed="81"/>
            <rFont val="Calibri"/>
            <family val="2"/>
          </rPr>
          <t xml:space="preserve">
2011 estimate</t>
        </r>
      </text>
    </comment>
    <comment ref="I218" authorId="1">
      <text>
        <r>
          <rPr>
            <b/>
            <sz val="9"/>
            <color indexed="81"/>
            <rFont val="Calibri"/>
            <family val="2"/>
          </rPr>
          <t>Nicole Portley:</t>
        </r>
        <r>
          <rPr>
            <sz val="9"/>
            <color indexed="81"/>
            <rFont val="Calibri"/>
            <family val="2"/>
          </rPr>
          <t xml:space="preserve">
2012 estimate</t>
        </r>
      </text>
    </comment>
    <comment ref="I294" authorId="1">
      <text>
        <r>
          <rPr>
            <b/>
            <sz val="9"/>
            <color indexed="81"/>
            <rFont val="Calibri"/>
            <family val="2"/>
          </rPr>
          <t>Nicole Portley:</t>
        </r>
        <r>
          <rPr>
            <sz val="9"/>
            <color indexed="81"/>
            <rFont val="Calibri"/>
            <family val="2"/>
          </rPr>
          <t xml:space="preserve">
2010 estimate</t>
        </r>
      </text>
    </comment>
    <comment ref="I296" authorId="1">
      <text>
        <r>
          <rPr>
            <b/>
            <sz val="9"/>
            <color indexed="81"/>
            <rFont val="Calibri"/>
            <family val="2"/>
          </rPr>
          <t>Nicole Portley:</t>
        </r>
        <r>
          <rPr>
            <sz val="9"/>
            <color indexed="81"/>
            <rFont val="Calibri"/>
            <family val="2"/>
          </rPr>
          <t xml:space="preserve">
2010 estimate</t>
        </r>
      </text>
    </comment>
    <comment ref="I297" authorId="1">
      <text>
        <r>
          <rPr>
            <b/>
            <sz val="9"/>
            <color indexed="81"/>
            <rFont val="Calibri"/>
            <family val="2"/>
          </rPr>
          <t>Nicole Portley:</t>
        </r>
        <r>
          <rPr>
            <sz val="9"/>
            <color indexed="81"/>
            <rFont val="Calibri"/>
            <family val="2"/>
          </rPr>
          <t xml:space="preserve">
2010 estimate</t>
        </r>
      </text>
    </comment>
    <comment ref="I302" authorId="1">
      <text>
        <r>
          <rPr>
            <b/>
            <sz val="9"/>
            <color indexed="81"/>
            <rFont val="Calibri"/>
            <family val="2"/>
          </rPr>
          <t>Nicole Portley:</t>
        </r>
        <r>
          <rPr>
            <sz val="9"/>
            <color indexed="81"/>
            <rFont val="Calibri"/>
            <family val="2"/>
          </rPr>
          <t xml:space="preserve">
2010 estimate</t>
        </r>
      </text>
    </comment>
    <comment ref="I303" authorId="1">
      <text>
        <r>
          <rPr>
            <b/>
            <sz val="9"/>
            <color indexed="81"/>
            <rFont val="Calibri"/>
            <family val="2"/>
          </rPr>
          <t>Nicole Portley:</t>
        </r>
        <r>
          <rPr>
            <sz val="9"/>
            <color indexed="81"/>
            <rFont val="Calibri"/>
            <family val="2"/>
          </rPr>
          <t xml:space="preserve">
2010 estimate</t>
        </r>
      </text>
    </comment>
    <comment ref="I304" authorId="1">
      <text>
        <r>
          <rPr>
            <b/>
            <sz val="9"/>
            <color indexed="81"/>
            <rFont val="Calibri"/>
            <family val="2"/>
          </rPr>
          <t>Nicole Portley:</t>
        </r>
        <r>
          <rPr>
            <sz val="9"/>
            <color indexed="81"/>
            <rFont val="Calibri"/>
            <family val="2"/>
          </rPr>
          <t xml:space="preserve">
2010 estimate</t>
        </r>
      </text>
    </comment>
    <comment ref="G317" authorId="1">
      <text>
        <r>
          <rPr>
            <b/>
            <sz val="9"/>
            <color indexed="81"/>
            <rFont val="Calibri"/>
            <family val="2"/>
          </rPr>
          <t>Nicole Portley:</t>
        </r>
        <r>
          <rPr>
            <sz val="9"/>
            <color indexed="81"/>
            <rFont val="Calibri"/>
            <family val="2"/>
          </rPr>
          <t xml:space="preserve">
Note: escapement enumeration method was changed in the middle of the dataset, so ≥5% declining trend is not necessarily a problem.</t>
        </r>
      </text>
    </comment>
    <comment ref="I349" authorId="1">
      <text>
        <r>
          <rPr>
            <b/>
            <sz val="9"/>
            <color indexed="81"/>
            <rFont val="Calibri"/>
            <family val="2"/>
          </rPr>
          <t>Nicole Portley:</t>
        </r>
        <r>
          <rPr>
            <sz val="9"/>
            <color indexed="81"/>
            <rFont val="Calibri"/>
            <family val="2"/>
          </rPr>
          <t xml:space="preserve">
2012 estimates</t>
        </r>
      </text>
    </comment>
    <comment ref="I365" authorId="1">
      <text>
        <r>
          <rPr>
            <b/>
            <sz val="9"/>
            <color indexed="81"/>
            <rFont val="Calibri"/>
            <family val="2"/>
          </rPr>
          <t>Nicole Portley:</t>
        </r>
        <r>
          <rPr>
            <sz val="9"/>
            <color indexed="81"/>
            <rFont val="Calibri"/>
            <family val="2"/>
          </rPr>
          <t xml:space="preserve">
2012 estimate</t>
        </r>
      </text>
    </comment>
    <comment ref="I366" authorId="1">
      <text>
        <r>
          <rPr>
            <b/>
            <sz val="9"/>
            <color indexed="81"/>
            <rFont val="Calibri"/>
            <family val="2"/>
          </rPr>
          <t>Nicole Portley:</t>
        </r>
        <r>
          <rPr>
            <sz val="9"/>
            <color indexed="81"/>
            <rFont val="Calibri"/>
            <family val="2"/>
          </rPr>
          <t xml:space="preserve">
2011 estimate</t>
        </r>
      </text>
    </comment>
    <comment ref="I367" authorId="1">
      <text>
        <r>
          <rPr>
            <b/>
            <sz val="9"/>
            <color indexed="81"/>
            <rFont val="Calibri"/>
            <family val="2"/>
          </rPr>
          <t>Nicole Portley:</t>
        </r>
        <r>
          <rPr>
            <sz val="9"/>
            <color indexed="81"/>
            <rFont val="Calibri"/>
            <family val="2"/>
          </rPr>
          <t xml:space="preserve">
2012 estimate</t>
        </r>
      </text>
    </comment>
    <comment ref="I412" authorId="1">
      <text>
        <r>
          <rPr>
            <b/>
            <sz val="9"/>
            <color indexed="81"/>
            <rFont val="Calibri"/>
            <family val="2"/>
          </rPr>
          <t>Nicole Portley:</t>
        </r>
        <r>
          <rPr>
            <sz val="9"/>
            <color indexed="81"/>
            <rFont val="Calibri"/>
            <family val="2"/>
          </rPr>
          <t xml:space="preserve">
Includes hatchery fish</t>
        </r>
      </text>
    </comment>
    <comment ref="I423" authorId="1">
      <text>
        <r>
          <rPr>
            <b/>
            <sz val="9"/>
            <color indexed="81"/>
            <rFont val="Calibri"/>
            <family val="2"/>
          </rPr>
          <t>Nicole Portley:</t>
        </r>
        <r>
          <rPr>
            <sz val="9"/>
            <color indexed="81"/>
            <rFont val="Calibri"/>
            <family val="2"/>
          </rPr>
          <t xml:space="preserve">
2012 estimate</t>
        </r>
      </text>
    </comment>
    <comment ref="I424" authorId="1">
      <text>
        <r>
          <rPr>
            <b/>
            <sz val="9"/>
            <color indexed="81"/>
            <rFont val="Calibri"/>
            <family val="2"/>
          </rPr>
          <t>Nicole Portley:</t>
        </r>
        <r>
          <rPr>
            <sz val="9"/>
            <color indexed="81"/>
            <rFont val="Calibri"/>
            <family val="2"/>
          </rPr>
          <t xml:space="preserve">
2012 estimate</t>
        </r>
      </text>
    </comment>
    <comment ref="I425" authorId="1">
      <text>
        <r>
          <rPr>
            <b/>
            <sz val="9"/>
            <color indexed="81"/>
            <rFont val="Calibri"/>
            <family val="2"/>
          </rPr>
          <t>Nicole Portley:</t>
        </r>
        <r>
          <rPr>
            <sz val="9"/>
            <color indexed="81"/>
            <rFont val="Calibri"/>
            <family val="2"/>
          </rPr>
          <t xml:space="preserve">
2012 estimate</t>
        </r>
      </text>
    </comment>
    <comment ref="I426" authorId="1">
      <text>
        <r>
          <rPr>
            <b/>
            <sz val="9"/>
            <color indexed="81"/>
            <rFont val="Calibri"/>
            <family val="2"/>
          </rPr>
          <t>Nicole Portley:</t>
        </r>
        <r>
          <rPr>
            <sz val="9"/>
            <color indexed="81"/>
            <rFont val="Calibri"/>
            <family val="2"/>
          </rPr>
          <t xml:space="preserve">
2012 estimate</t>
        </r>
      </text>
    </comment>
    <comment ref="I427" authorId="1">
      <text>
        <r>
          <rPr>
            <b/>
            <sz val="9"/>
            <color indexed="81"/>
            <rFont val="Calibri"/>
            <family val="2"/>
          </rPr>
          <t>Nicole Portley:</t>
        </r>
        <r>
          <rPr>
            <sz val="9"/>
            <color indexed="81"/>
            <rFont val="Calibri"/>
            <family val="2"/>
          </rPr>
          <t xml:space="preserve">
2012 estimate</t>
        </r>
      </text>
    </comment>
    <comment ref="I428" authorId="1">
      <text>
        <r>
          <rPr>
            <b/>
            <sz val="9"/>
            <color indexed="81"/>
            <rFont val="Calibri"/>
            <family val="2"/>
          </rPr>
          <t>Nicole Portley:</t>
        </r>
        <r>
          <rPr>
            <sz val="9"/>
            <color indexed="81"/>
            <rFont val="Calibri"/>
            <family val="2"/>
          </rPr>
          <t xml:space="preserve">
2012 estimate</t>
        </r>
      </text>
    </comment>
    <comment ref="I429" authorId="1">
      <text>
        <r>
          <rPr>
            <b/>
            <sz val="9"/>
            <color indexed="81"/>
            <rFont val="Calibri"/>
            <family val="2"/>
          </rPr>
          <t>Nicole Portley:</t>
        </r>
        <r>
          <rPr>
            <sz val="9"/>
            <color indexed="81"/>
            <rFont val="Calibri"/>
            <family val="2"/>
          </rPr>
          <t xml:space="preserve">
2012 estimate</t>
        </r>
      </text>
    </comment>
    <comment ref="I430" authorId="1">
      <text>
        <r>
          <rPr>
            <b/>
            <sz val="9"/>
            <color indexed="81"/>
            <rFont val="Calibri"/>
            <family val="2"/>
          </rPr>
          <t>Nicole Portley:</t>
        </r>
        <r>
          <rPr>
            <sz val="9"/>
            <color indexed="81"/>
            <rFont val="Calibri"/>
            <family val="2"/>
          </rPr>
          <t xml:space="preserve">
2012 estimate</t>
        </r>
      </text>
    </comment>
  </commentList>
</comments>
</file>

<file path=xl/sharedStrings.xml><?xml version="1.0" encoding="utf-8"?>
<sst xmlns="http://schemas.openxmlformats.org/spreadsheetml/2006/main" count="4641" uniqueCount="1315">
  <si>
    <t>Fishery name</t>
  </si>
  <si>
    <t>Chinook salmon - East Pacific: Alaska</t>
  </si>
  <si>
    <t>Chum salmon - East Pacific: Alaska</t>
  </si>
  <si>
    <t>Chum salmon - East Pacific: British Columbia</t>
  </si>
  <si>
    <t>Chum salmon - West Pacific: Japan</t>
  </si>
  <si>
    <t>Chum salmon - West Pacific: Russia</t>
  </si>
  <si>
    <t>Pink salmon - East Pacific: Alaska</t>
  </si>
  <si>
    <t>Pink salmon - East Pacific: British Columbia</t>
  </si>
  <si>
    <t>Pink salmon - West Pacific: Russia</t>
  </si>
  <si>
    <t>Sockeye salmon - East Pacific: Alaska</t>
  </si>
  <si>
    <t>Sockeye salmon - East Pacific: British Columbia</t>
  </si>
  <si>
    <t>Sockeye salmon - West Pacific: Russia</t>
  </si>
  <si>
    <t>No.</t>
  </si>
  <si>
    <t>Coho salmon - East Pacific: Alaska</t>
  </si>
  <si>
    <t xml:space="preserve">Chinook salmon - East Pacific: Arctic-Yukon-Kuskokwim Alaska </t>
  </si>
  <si>
    <t xml:space="preserve">Chinook salmon - East Pacific: Cook Inlet Alaska </t>
  </si>
  <si>
    <t xml:space="preserve">Chinook salmon - East Pacific: Copper River Alaska </t>
  </si>
  <si>
    <t xml:space="preserve">Chinook salmon - East Pacific: West Coast Vancouver Island </t>
  </si>
  <si>
    <t>-</t>
  </si>
  <si>
    <t>Chum salmon - East Pacific: Prince William Sound Alaska</t>
  </si>
  <si>
    <t>Chum salmon - East Pacific: Southeast Alaska</t>
  </si>
  <si>
    <t>Chum salmon - East Pacific: Kodiak</t>
  </si>
  <si>
    <t xml:space="preserve">Chum salmon - West Pacific: East Kamchatka </t>
  </si>
  <si>
    <t xml:space="preserve">Chum salmon - West Pacific: Iturup Island Sakhalin </t>
  </si>
  <si>
    <t>Chum salmon - West Pacific: Sakhalin and Kuril Islands</t>
  </si>
  <si>
    <t xml:space="preserve">Chum salmon - West Pacific: West Kamchatka </t>
  </si>
  <si>
    <t xml:space="preserve">Coho salmon - East Pacific: Copper-Bering Alaska </t>
  </si>
  <si>
    <t xml:space="preserve">Coho salmon - East Pacific: Southeast Alaska </t>
  </si>
  <si>
    <t>Coho salmon - East Pacific: British Columbia North-Central Coast and Haida Gwaii</t>
  </si>
  <si>
    <t xml:space="preserve">Pink salmon - East Pacific: Prince William Sound Alaska </t>
  </si>
  <si>
    <t xml:space="preserve">Pink salmon - East Pacific: Southeast Alaska </t>
  </si>
  <si>
    <t>Pink salmon - West Pacific: Aniva Bay Sakhalin</t>
  </si>
  <si>
    <t xml:space="preserve">Pink salmon - West Pacific: East Kamchatka </t>
  </si>
  <si>
    <t xml:space="preserve">Pink salmon - West Pacific: Iturup Island Sakhalin </t>
  </si>
  <si>
    <t xml:space="preserve">Pink salmon - West Pacific: Northeast Sakhalin </t>
  </si>
  <si>
    <t xml:space="preserve">Pink salmon - West Pacific: Sakhalin and Kuril Islands </t>
  </si>
  <si>
    <t>Pink salmon - West Pacific: West Kamchatka</t>
  </si>
  <si>
    <t>Sockeye salmon - East Pacific: Bristol Bay Alaska</t>
  </si>
  <si>
    <t xml:space="preserve">Sockeye salmon - East Pacific: Cook Inlet Alaska </t>
  </si>
  <si>
    <t xml:space="preserve">Sockeye salmon - East Pacific: Copper-Bering Alaska </t>
  </si>
  <si>
    <t xml:space="preserve">Sockeye salmon - East Pacific: Prince William Sound Alaska </t>
  </si>
  <si>
    <t xml:space="preserve">Sockeye salmon - East Pacific: Southeast Alaska </t>
  </si>
  <si>
    <t xml:space="preserve">Sockeye salmon - East Pacific: British Columbia Fraser River </t>
  </si>
  <si>
    <t>Sockeye salmon - West Pacific: Russia Offshore - Japanese vessels</t>
  </si>
  <si>
    <t>Sockeye salmon - West Pacific: Russia Offshore - Russian vessels</t>
  </si>
  <si>
    <t>Sockeye salmon - West Pacific: East Kamchatka</t>
  </si>
  <si>
    <t xml:space="preserve">Sockeye salmon - West Pacific: Ozernaya River </t>
  </si>
  <si>
    <t>Sockeye salmon - West Pacific: West Kamchatka</t>
  </si>
  <si>
    <t>Chinook salmon - East Pacific: British Columbia</t>
  </si>
  <si>
    <t>Chinook salmon - East Pacific: North Coast British Columbia</t>
  </si>
  <si>
    <t>Chinook salmon - East Pacific: Southeast Alaska (troll)</t>
  </si>
  <si>
    <t>Chinook salmon - East Pacific: California-Oregon-Washington</t>
  </si>
  <si>
    <t>Chum salmon - East Pacific: Alaska Peninsula, Aleutian Islands and Chignik</t>
  </si>
  <si>
    <t>Chum salmon - West Pacific: Kitami Fall Run</t>
  </si>
  <si>
    <t>Chum salmon - West Pacific: Khabarovsk Krai and Amur</t>
  </si>
  <si>
    <t>N</t>
  </si>
  <si>
    <t xml:space="preserve">See asks under the Alaska Chinook salmon region-scale profile above.
</t>
  </si>
  <si>
    <t>Alaska</t>
  </si>
  <si>
    <t>BC</t>
  </si>
  <si>
    <t>&lt;6</t>
  </si>
  <si>
    <t>≥6</t>
  </si>
  <si>
    <t>Russia</t>
  </si>
  <si>
    <t>1. Management Responsiveness</t>
  </si>
  <si>
    <t>1.2 Multi-Season Responsiveness</t>
  </si>
  <si>
    <t>1.3 Responsiveness to Habitat Issues</t>
  </si>
  <si>
    <t>3.1 IUU Fishing</t>
  </si>
  <si>
    <t>3.2 Harvest Data</t>
  </si>
  <si>
    <t>3.3 Escapement Data</t>
  </si>
  <si>
    <t>n/a</t>
  </si>
  <si>
    <t>1.1a In-Season Responsiveness</t>
  </si>
  <si>
    <t>4. Stock Status</t>
  </si>
  <si>
    <t>4.2 Harvest Trends</t>
  </si>
  <si>
    <t>4.1 Escapement Trends</t>
  </si>
  <si>
    <t>5. Hatchery Impacts</t>
  </si>
  <si>
    <t xml:space="preserve">1. Once the genetic study final results are available, ADF&amp;G should draft a report describing how this information is being incorporated into fishery management. 
2. If local Chinook stocks continue to exhibit declines, more precautionary management of openings and closures in spite of abundant co-migrating sockeye stocks may be necessary.
</t>
  </si>
  <si>
    <t>1. Further investigation of factors that may be influencing Chinook salmon abundance in the AYK region (and other areas of Alaska), including environmental conditions and bycatch of Arctic-Yukon-Kuskokwim area Chinook salmon stocks in the Bering Sea and Gulf of Alaska pollock fisheries, is needed. Research funding awards following very poor returns in 2012 may provide additional resources in this effort.</t>
  </si>
  <si>
    <t>Improvement asks to catchers and regulators</t>
  </si>
  <si>
    <t>Improvement asks to retailers and the supply chain</t>
  </si>
  <si>
    <t xml:space="preserve">1. Continue to manage the fishery conservatively until stocks recover sufficiently to consistently achieve escapement goals. 
2. Carry out the long-term funding described in the Chinook Salmon Stock Assessment and Research Plan (ADF&amp;G 2013).
</t>
  </si>
  <si>
    <t>1. Conduct/complete necessary stock identification and assessment surveys, and ensure that harvest strategies protect all components of mixed-stock fisheries.
2. In the Southeast Alaska troll fishery, establish a maximum percent cumulative error in achieving target catch and compensate for harvest overages in subsequent years.
3. Reestablish the integrity of the coastwide Coded Wire Tagging monitoring program through Pacific Salmon Treaty proceedings.
4. Take action to limit incidental mortality in the Southeast Alaska troll fishery (delay the summer opening in the coho fishery, reduce power troll effort through a buy-back program).</t>
  </si>
  <si>
    <t>1. If you are sourcing from an MSC-certified fishery with complete chain of custody, support and encourage timely closing of all conditions.
2. If the source fishery is not MSC-certified, or if chain of custody is not complete, encourage development of a credible FIP. Encourage an improvement planning and implementation process that is transparent and open to interested stakeholders, with the goal of closing all conditions.
3. Support the call for a moratorium on hatchery expansion in Alaska until such time as risks to wild populations from hatchery impacts are, at the highest level, ascertained and integrated into the management objectives of the Alaska Department of Fish and Game (ADF&amp;G). Encourage ADF&amp;G to incorporate precautionary approaches into hatchery management on the basis of existing and future straying data.</t>
  </si>
  <si>
    <t>1. Continue to carry out hatchery reform activities identified by the Hatchery Scientific Review Group.
2. Maintain river flows in Chinook spawning streams and explore dam removal opportunities, particularly on the Klamath River.</t>
  </si>
  <si>
    <t xml:space="preserve">1. If the source fishery is not MSC-certified, or certified under an equivalent scheme, develop a credible FIP. Encourage an improvement planning and implementation process that is transparent and open to interested stakeholders. If the fishery is certified, work to close out all open conditions.
2. Support the call for a moratorium on hatchery expansion in Alaska until such time as risks to wild populations from hatchery impacts are, at the highest level, ascertained and integrated into the management objectives of the Alaska Department of Fish and Game (ADF&amp;G).
3. Encourage robust implementation, transparent reporting, and external peer review of ADF&amp;G’s hatchery interaction studies announced in 2012. Studies should be expanded to include sockeye salmon.
4. Identify and implement hatchery management measures to address documented straying issues and minimize hatchery impacts upon wild stocks. Measures include (but are not limited to):
- Adjustments to release numbers, timing, and location
- Adjustment of wild stock escapement goals
- Development of robust approaches to enumerate wild stock escapement in cases where escapement is composed of both wild and hatchery salmon.
5. Conduct/complete necessary stock identification and assessment surveys, and ensure that harvest strategies protect all components of mixed-stock fisheries.
6. Develop a public improvement plan now for outstanding Marine Stewardship Council conditions in Prince William Sound. A credible Fishery Improvement Project will help close conditions, or allow companies with sustainability policies that include credible FIPs to continue sourcing from the fishery if certification and chain of custody are not achieved.
</t>
  </si>
  <si>
    <t>1. Establish a maximum percent cumulative error in achieving target catch and compensate for harvest overages in subsequent years (through adjustment to the catch limit or to the abundance index). 
2. Reestablish the integrity of the CWT program through Pacific Salmon Treaty proceedings. 
3. Institute CWT indicators for more Fraser River Chinook Conservation Units.
 4. Conduct straying and comparative productivity studies. 
5. Where stock status declines have been detected, improve escapement estimation and conduct monitoring at the Conservation Unit scale in order to better understand stock-specific productivity issues.</t>
  </si>
  <si>
    <t>1. Write a letter to the Canadian Prime Minister (http://www.pm.gc.ca/eng/contact.asp) urging full implementation and funding of the Wild Salmon Policy as recommended by the Cohen Commission, as well as policies and programs that protect and restore habitat.
2. Encourage Department of Fisheries and Oceans Canada to complete benchmarking of all salmon Conservation Units and incorporate Unit status into stock groupings used for management.
3. Encourage Department of Fisheries and Oceans Canada to reduce stressors to wild salmon by improving the transparency and alignment of scientific research and fisheries management.</t>
  </si>
  <si>
    <t xml:space="preserve">1. Reestablish the integrity of the Coded Wire Tagging (CWT)  program through Pacific Salmon Treaty proceedings. 
2. Institute more CWT indicators in order to better represent existing Conservation Units. 
3. Where stock status declines have been detected, improve escapement estimation and conduct monitoring at the Conservation Unit scale in order to better understand stock-specific productivity issues.
</t>
  </si>
  <si>
    <t>1. Establish a maximum percent cumulative error in achieving target catch and compensate for harvest overages in subsequent years (through adjustment to the catch limit or to the abundance index). 
2. Reestablish the integrity of the Coded Wire Tagging (CWT) program through Pacific Salmon Treaty proceedings.
 3. Institute CWT indicators for more Fraser River Chinook Conservation Units.
 4. Conduct straying and comparative productivity studies.</t>
  </si>
  <si>
    <t>1. Management should consider the Western Alaska Salmon Stock Identification Project(WASSIP) study findings to the degree that they are relevant and useful in adjusting their strategies to mitigate impacts. Next steps should be identified toward a path of adequate resolution of the issue of non-local harvest.</t>
  </si>
  <si>
    <t xml:space="preserve">1. If the aggregate stocks cannot be managed to consistently achieve goals, action should be taken to reduce harvests and, if indicated, recommend stock of concern status.  
2. While funding priorities may not allow it, the quality of Kodiak Management Area chum salmon escapement data could benefit from groundtruthing measures to correct error imparted by hindrances to visibility and surveyor experience levels. Such an effort has been underway for Southeast Alaska chum salmon in recent years (Piston and Heinl 2011).
3. A mark and recapture program for hatchery chum salmon should be implemented to confirm that measures to protect the integrity of wild chum salmon stocks are effective.
</t>
  </si>
  <si>
    <t xml:space="preserve">1. Reduce hatchery releases.
2. Give stock of yield (regulatory) status to Prince William Sound chum salmon if yield declines continue.
3. Make public all information regarding the handling of PWSAC permit violations described in the 2007 ADF&amp;G internal review of the aquaculture corporation (ADF&amp;G 2009).
</t>
  </si>
  <si>
    <t xml:space="preserve">1. Catch sampling to allow wild and hatchery chum salmon stocks to be distinguished in mixed stock fisheries should become routine in Northern Southeast Alaska, particularly in the Northern Southeast Inside sub-region. 
2. ADF&amp;G should continue research on hatchery straying and hatchery impacts on Southeast Alaska chum salmon conservation and management.
3. ADF&amp;G should continue efforts to improve escapement monitoring and escapement goals, and further understanding of mechanisms responsible for abundance trends.
</t>
  </si>
  <si>
    <t>1. Increase funding for enforcement. 
2. Make escapement data public. 
3. Enforce more stringent harvest control rules to assure that escapement goals are met. 
4. Refine hatchery practices in order to minimize hatchery straying and assure adequate wild escapement.</t>
  </si>
  <si>
    <t xml:space="preserve">1. Increase funding for enforcement.
 2. Make escapement data public. 
3. Enforce more stringent harvest control rules to assure that escapement goals are met.
</t>
  </si>
  <si>
    <t xml:space="preserve">1. Develop a method for estimating upriver escapement of coho salmon in the Copper River.
2. Include coho salmon in ongoing genetic stock identification studies focused on Copper River Chinook and sockeye salmon.
</t>
  </si>
  <si>
    <t xml:space="preserve">1. Renew the Alaska Coastal Zone Management Program. 
2. Take action to limit incidental mortality of Chinook salmon by delaying the summer opening in the coho troll salmon fishery.
</t>
  </si>
  <si>
    <t>1. Complete benchmarking of all salmon Conservation Units. Ensure that status information for all Units is publicly available. Furthermore, ensure that Unit status is effectively incorporated into stock groupings used for commercial fishery management. Undertake robust recovery planning for all Units in the “Red Zone,” i.e., below their lower benchmarks (Wild Salmon Policy Strategy 1).
2. Develop a comprehensive and scientifically defensible system for catch reporting and compliance monitoring for target and non-target catches.
3. Provide scientifically defensible estimates of short- and long-term post-release survival of bycatch and include these estimates in management plans.
4. Provide scientifically defensible estimates of fisheries impact on non-target stocks.
5. Implement Management Reference Points for each Conservation Unit to improve management transparency and accountability.
6. Implement all recommendations from the Cohen Commission final report, including:
- Full implementation of the Wild Salmon Policy (including timelines and milestones);
- Creation of a new position within the Department of Fisheries and Oceans to “champion” WSP implementation;
- Establishment of dedicated funding for Wild Salmon Policy implementation;
- Removal of the mandate to promote salmon farming from Department of Fisheries and Oceans Canada; and
- Curtailment of salmon aquaculture production and licensing along wild salmon migration paths, as well as increased research into impacts of aquaculture on wild fish.</t>
  </si>
  <si>
    <t xml:space="preserve">1. Write a letter to the Canadian Prime Minister (http://www.pm.gc.ca/eng/contact.asp) urging full implementation and funding of the Wild Salmon Policy as recommended by the Cohen Commission, as well as policies and programs that protect and restore habitat.
2. Encourage Department of Fisheries and Oceans Canada to complete benchmarking of all salmon Conservation Units and incorporate Unit status into stock groupings used for management.
3. Encourage Department of Fisheries and Oceans Canada to reduce stressors to wild salmon by improving the transparency and alignment of scientific research and fisheries management.
</t>
  </si>
  <si>
    <t>1. Maintain river flows in coho spawning streams at levels deemed necessary for coho survival by Endangered Species Act guidelines, and explore dam removal opportunities, particularly on the Klamath River.
 2. Continue to undertake watershed restoration activities with associated, thorough effectiveness monitoring programs. 
3. Improve coded wire tagging coverage of indicator stocks. 
4. Improve escapement survey coverage. 
5. Continue to carry out hatchery reform activities identified by the Hatchery Scientific Review Group.</t>
  </si>
  <si>
    <t>1. If the source fishery is not MSC-certified, or certified under an equivalent scheme, develop a credible FIP. Encourage an improvement planning and implementation process that is transparent and open to interested stakeholders. If the fishery is certified, work to close out all open conditions.
2. Support the call for a moratorium on hatchery expansion in Alaska until such time as risks to wild populations from hatchery impacts are, at the highest level, ascertained and integrated into the management objectives of the Alaska Department of Fish and Game (ADF&amp;G).
3. Encourage robust implementation, transparent reporting, and external peer review of ADF&amp;G’s hatchery interaction studies announced in 2012. Studies should be expanded to include sockeye salmon.
4. Identify and implement hatchery management measures to address documented straying issues and minimize hatchery impacts upon wild stocks. Measures include (but are not limited to):
- Adjustments to release numbers, timing, and location
- Adjustment of wild stock escapement goals
- Development of robust approaches to enumerate wild stock escapement in cases where escapement is composed of both wild and hatchery salmon.
5. Conduct/complete necessary stock identification and assessment surveys, and ensure that harvest strategies protect all components of mixed-stock fisheries.
6. Develop a public improvement plan now for outstanding Marine Stewardship Council conditions in Prince William Sound. A credible Fishery Improvement Project will help close conditions, or allow companies with sustainability policies that include credible FIPs to continue sourcing from the fishery if certification and chain of custody are not achieved.</t>
  </si>
  <si>
    <t xml:space="preserve">1. Reduce hatchery releases.
2. Give stock of yield (regulatory) status to Prince William Sound pink salmon. 
3. Make public all information regarding the handling of PWSAC permit violations described in the 2007 Alaska Department of Fish and Game (ADF&amp;G) internal review of the aquaculture corporation (ADF&amp;G 2009).
</t>
  </si>
  <si>
    <t>1. If the source fishery is not MSC-certified, or certified under an equivalent scheme, develop a credible FIP. Encourage an improvement planning and implementation process that is transparent and open to interested stakeholders. If the fishery is certified, work to close out all open conditions.
2. Support the call for a moratorium on hatchery expansion in Alaska until such time as risks to wild populations from hatchery impacts are, at the highest level, ascertained and integrated into the management objectives of the Alaska Department of Fish and Game (ADF&amp;G).
3. Encourage robust implementation, transparent reporting, and external peer review of ADF&amp;G’s hatchery interaction studies announced in 2012. Studies should be expanded to include sockeye salmon.
4. Identify and implement hatchery management measures to address documented straying issues and minimize hatchery impacts upon wild stocks. Measures include (but are not limited to):
- Adjustments to release numbers, timing, and location
- Adjustment of wild stock escapement goals
- Development of robust approaches to enumerate wild stock escapement in cases where escapement is composed of both wild and hatchery salmon.
5. Develop a public improvement plan now for outstanding Marine Stewardship Council conditions in Prince William Sound. A credible Fishery Improvement Project will help close conditions, or allow companies with sustainability policies that include credible FIPs to continue sourcing from the fishery if certification and chain of custody are not achieved.</t>
  </si>
  <si>
    <t>1. Renew the Alaska Coastal Zone Management Program.</t>
  </si>
  <si>
    <t xml:space="preserve">1. Publicly release information on escapement performance and hatchery straying studies. 
2. Improve anti-poaching enforcement. 
3. Use hatchery mark-and-recapture data to ensure that wild fish are not being overharvested.
</t>
  </si>
  <si>
    <t>n/a (no data)</t>
  </si>
  <si>
    <t>1. Make escapement data public. 
2. Document harvest control rules and their implementation. 
3. Increase funding for enforcement</t>
  </si>
  <si>
    <t>1. Assess hatchery impacts on wild populations by implementing a hatchery marking program and estimating proportions of hatchery fish in wild spawning areas, hatchery broodstock, and fishery catches.
2. Put into place fishery-independent monitoring programs to collect information on incidental catches of protected species such as Sakhalin taimen, Sakhalin (green) sturgeon, and Kaluga sturgeon.
3.Improve regulation compliance, enforcement, and verification programs by working with local communities, organizing anti-poaching brigades, and using third-party verifications to independently monitor compliance.
4. Make public district-scale information on escapement goals and actual spawning escapements, hatchery releases, and fishery catches.</t>
  </si>
  <si>
    <t>1. Make escapement data public.
 2. Document harvest control rules and their implementation. 
3. Increase funding for enforcement</t>
  </si>
  <si>
    <t>1. Oppose the proposed construction of the Pebble Mine in the headwaters of the Kvichak and Nushagak Rivers. 
2. Continue research into ocean and nearshore environmental dynamics and their impacts upon Bristol Bay sockeye salmon.</t>
  </si>
  <si>
    <t>1. Continue implementation of the Susitna Action Plan, focused upon recovery of Yentna sockeye salmon, until recovery to pre-decline (pre-2003) levels is achieved.</t>
  </si>
  <si>
    <t xml:space="preserve">1. Implement a straying study.
2. Complete genetic baseline studies and develop more (finer) escapement goals for Copper River sockeye. 3. Institute new escapement monitoring programs in order to monitor escapement at finer scales.
4. Conduct sampling and genetic studies at Crosswind Lake to determine the origin of unmarked fish.
5. Declare Bering River sockeye a Stock of Yield Concern and develop a recovery plan for the stock.
</t>
  </si>
  <si>
    <t xml:space="preserve">1. Develop an escapement goal(s) for the Unakwik District.
2. Include sockeye salmon in the straying and comparative productivity research project that was initiated in 2012. 
3. Make public all information regarding the handling of PWSAC permit violations described in the 2007 ADF&amp;G internal review of the aquaculture corporation (ADF&amp;G 2009).
</t>
  </si>
  <si>
    <t>1. Eliminate the offshore driftnet fishery in favor of coastal fisheries. 
2. Conduct stock identification studies. 
3. Improve anti-poaching enforcement. 
4. Make more data public.</t>
  </si>
  <si>
    <t xml:space="preserve">1. Support efforts to reduce illegal fishing, including observer programs, catch verification, traceability measures and intergovernmental agreements on IUU fishing.
2. Communicate through the supply chain that condition-free MSC-level results are expected by industry from all fishery sources.
3. Support the call for straying studies, marking programs and a moratorium on hatchery expansion until such time as risks to wild populations from hatchery impacts are, at the highest level, ascertained and integrated into management objectives.
4. Contact SFP to learn more about current and potential Fishery Improvement Projects.
</t>
  </si>
  <si>
    <t xml:space="preserve">1. Lower the exploitation rate on Kamchatka River sockeye and improve performance against escapement goals through the use of more spatial and temporal closures. 
2. Buy out some of the leases to commercial fishing parcels in the Kamchatka Bay to reduce fishing pressure. 
3. Improve anti-poaching enforcement, particularly in the lower and mid-channel portions of the Kamchatka River.
</t>
  </si>
  <si>
    <t>1. Reevaluate the escapement goal, including data gathered since the last escapement goal review (1994) and information regarding sub-stock structure of the fishery. 
2. Continue an independent observer program initiated in 2011 to monitor illegal fishing in the Ozernaya basin.
3. Make stock assessment reports and research plans public.
4. Conduct genetic stock identification monitoring in the driftnet fishery.
 5. Develop a genetic baseline for sub-stock structure of the Ozernaya basin. (4 &amp; 5 are not requirements of the fishery's MSC certificate, but could generate useful information were resources available to pursue these improvements).</t>
  </si>
  <si>
    <t>1. Eliminate the offshore driftnet fishery in favor of coastal fisheries. 
2. Conduct stock identification studies. 
3. Make public all documentation related to the setting of catch limits. 
4. Introduce anti-poaching observer coverage. 
5. Conduct studies focused upon quantification of salmon mortality associated with net interactions.</t>
  </si>
  <si>
    <t xml:space="preserve">1. Eliminate the offshore driftnet fishery in favor of coastal fisheries. 
2. Conduct stock identification studies. 
3. Make public all documentation related to the setting of catch limits.
4. Increase anti-poaching observer coverage. 
5. Institute a bycatch observer program. 
6. Conduct studies focused upon quantification of salmon mortality associated with net interactions.
</t>
  </si>
  <si>
    <t xml:space="preserve">1. Improve anti-poaching enforcement. 
2. Make escapement goal and performance information public.
</t>
  </si>
  <si>
    <t>1. Implement a straying study. 
2. Complete genetic baseline studies and develop more (finer) escapement goals for Copper River sockeye. 
3. Institute new escapement monitoring programs in order to monitor escapement at finer scales.
4. Conduct sampling and genetic studies at Crosswind Lake to determine the origin of unmarked fish.
5. Declare Bering River sockeye a Stock of Yield Concern and develop a recovery plan for the stock.</t>
  </si>
  <si>
    <t>1. Continue anti-poaching patrols spearheaded by local fishermen, and work with local specialists to quantify illegal fishing. 
2. Conduct additional juvenile out-migration and escapement surveys in order to better inform the harvest strategy.
 3. Formulate and carry out a bycatch monitoring plan.</t>
  </si>
  <si>
    <t>1. Continue the mark-and-recapture program and use results to further explore the question of hatchery impacts upon wild stock productivity.
2. Make public government hatchery review documentation and historic catch and escapement data.</t>
  </si>
  <si>
    <t>1. Support efforts to reduce illegal fishing, including observer programs, catch verification, traceability measures and intergovernmental agreements on IUU fishing.
2. Communicate through the supply chain that condition-free MSC-level results are expected by industry from all fishery sources.
3. Support the call for straying studies, marking programs and a moratorium on hatchery expansion until such time as risks to wild populations from hatchery impacts are, at the highest level, ascertained and integrated into management objectives.
4. Contact SFP to learn more about current and potential Fishery Improvement Projects.</t>
  </si>
  <si>
    <t>same as asks of catchers and regulators</t>
  </si>
  <si>
    <t>A-C category (2013)</t>
  </si>
  <si>
    <t>Annual Harvest ('000 t)</t>
  </si>
  <si>
    <t>Years of harvest (average of two years)</t>
  </si>
  <si>
    <t>Hatchery Proportion of Harvest</t>
  </si>
  <si>
    <t>Predominant Gear (&gt;50% harvest)</t>
  </si>
  <si>
    <t>≥8</t>
  </si>
  <si>
    <t>B</t>
  </si>
  <si>
    <t>Troll</t>
  </si>
  <si>
    <t xml:space="preserve">Chinook salmon - East Pacific: Annette Islands Reserve Alaska </t>
  </si>
  <si>
    <t>Driftnet and Seine</t>
  </si>
  <si>
    <t>Driftnet and Set Net</t>
  </si>
  <si>
    <t xml:space="preserve">Chinook salmon - East Pacific: Bristol Bay Alaska </t>
  </si>
  <si>
    <t>A</t>
  </si>
  <si>
    <t>Driftnet</t>
  </si>
  <si>
    <t>Set Net</t>
  </si>
  <si>
    <t>Chinook salmon - East Pacific: Southeast Alaska</t>
  </si>
  <si>
    <t xml:space="preserve">Chinook salmon - East Pacific: Southeast Alaska </t>
  </si>
  <si>
    <t>C</t>
  </si>
  <si>
    <t>Seine and Driftnet</t>
  </si>
  <si>
    <t xml:space="preserve">Chum salmon - East Pacific: Annette Islands Reserve Alaska </t>
  </si>
  <si>
    <t xml:space="preserve">Chum salmon - East Pacific: Arctic-Yukon-Kuskokwim Alaska </t>
  </si>
  <si>
    <t>Chum salmon - East Pacific: Bristol Bay Alaska</t>
  </si>
  <si>
    <t>Chum salmon - East Pacific: Cook Inlet Alaska</t>
  </si>
  <si>
    <t>Seine</t>
  </si>
  <si>
    <t>Chum salmon - East Pacific: Alaska Peninsula and Chignik</t>
  </si>
  <si>
    <t xml:space="preserve">Chum salmon - East Pacific: British Columbia Fraser River </t>
  </si>
  <si>
    <t xml:space="preserve">Chum salmon - East Pacific: British Columbia Inner South Coast </t>
  </si>
  <si>
    <t xml:space="preserve">Chum salmon - East Pacific: British Columbia North-Central Coast and Haida Gwaii </t>
  </si>
  <si>
    <t xml:space="preserve">Chum salmon - East Pacific: British Columbia West Vancouver Island </t>
  </si>
  <si>
    <t>Set Trap</t>
  </si>
  <si>
    <t xml:space="preserve">Chum salmon - West Pacific: Hokkaido </t>
  </si>
  <si>
    <t xml:space="preserve">Chum salmon - West Pacific: Honshu </t>
  </si>
  <si>
    <t xml:space="preserve">Chum salmon - West Pacific: Kitami Hokkaido Fall Run </t>
  </si>
  <si>
    <t>~30%</t>
  </si>
  <si>
    <t>Chum salmon - West Pacific: Chukhotka</t>
  </si>
  <si>
    <t>&lt;1%</t>
  </si>
  <si>
    <t xml:space="preserve">Chum salmon - West Pacific: Magadan </t>
  </si>
  <si>
    <t>Chum salmon - West Pacific: Primoriya</t>
  </si>
  <si>
    <t>Chum salmon - West Pacific: Russia Offshore - Japanese vessels</t>
  </si>
  <si>
    <t>Chum salmon - West Pacific: Russia Offshore - Russian vessels</t>
  </si>
  <si>
    <t>&gt;90%</t>
  </si>
  <si>
    <t>Troll, Driftnet, and Set Net</t>
  </si>
  <si>
    <t xml:space="preserve">Coho salmon - East Pacific: Annette Islands Reserve Alaska </t>
  </si>
  <si>
    <t xml:space="preserve">Coho salmon - East Pacific: Arctic-Yukon-Kuskokwim Alaska </t>
  </si>
  <si>
    <t xml:space="preserve">Coho salmon - East Pacific: Bristol Bay Alaska </t>
  </si>
  <si>
    <t>Coho salmon - East Pacific: Cook Inlet Alaska</t>
  </si>
  <si>
    <t xml:space="preserve">Coho salmon - East Pacific: Prince William Sound Alaska </t>
  </si>
  <si>
    <t>Coho salmon - East Pacific: Westward Alaska</t>
  </si>
  <si>
    <t>Seine and Set Net</t>
  </si>
  <si>
    <t xml:space="preserve">Pink salmon - East Pacific: Annette Islands Reserve Alaska </t>
  </si>
  <si>
    <t xml:space="preserve">Pink salmon - East Pacific: Cook Inlet Alaska </t>
  </si>
  <si>
    <t>Pink salmon - East Pacific: Norton Sound Alaska</t>
  </si>
  <si>
    <t xml:space="preserve">Pink salmon - East Pacific: Westward Alaska </t>
  </si>
  <si>
    <t xml:space="preserve">Pink salmon - East Pacific: British Columbia Fraser River </t>
  </si>
  <si>
    <t xml:space="preserve">Pink salmon - East Pacific: British Columbia Inner South Coast </t>
  </si>
  <si>
    <t>Pink salmon - East Pacific: British Columbia North-Central Coast and Haida Gwaii</t>
  </si>
  <si>
    <t>~10%</t>
  </si>
  <si>
    <t>Pink salmon - West Pacific: Chukhotka</t>
  </si>
  <si>
    <t>Pink salmon - West Pacific: Magadan</t>
  </si>
  <si>
    <t xml:space="preserve">Pink salmon - West Pacific: Primoriya </t>
  </si>
  <si>
    <t xml:space="preserve">Sockeye salmon - East Pacific: Annette Islands Reserve Alaska </t>
  </si>
  <si>
    <t xml:space="preserve">Sockeye salmon - East Pacific: Kuskokwim Alaska </t>
  </si>
  <si>
    <t xml:space="preserve">Sockeye salmon - East Pacific: Westward Alaska </t>
  </si>
  <si>
    <t xml:space="preserve">Driftnet </t>
  </si>
  <si>
    <t xml:space="preserve">Sockeye salmon - East Pacific: British Columbia Barkley Sound </t>
  </si>
  <si>
    <t xml:space="preserve">Sockeye salmon - East Pacific: British Columbia Nass River </t>
  </si>
  <si>
    <t xml:space="preserve">Sockeye salmon - East Pacific: British Columbia Skeena River </t>
  </si>
  <si>
    <t xml:space="preserve">Sockeye salmon - West Pacific: Chukhotka </t>
  </si>
  <si>
    <t>2. Management Objectives</t>
  </si>
  <si>
    <t>3. Accuracy of Data and IUU Fishing</t>
  </si>
  <si>
    <t>1. Management responsiveness</t>
  </si>
  <si>
    <t>2. Management objectives</t>
  </si>
  <si>
    <t>FIP Status</t>
  </si>
  <si>
    <t>MSC status / conditions</t>
  </si>
  <si>
    <t xml:space="preserve">All 1997-2010 data from NPAFC Statistical Yearbook (http://www.npafc.org/new/pub_statistics.html) </t>
  </si>
  <si>
    <t>PNW Data:</t>
  </si>
  <si>
    <t>all other 2011 data from Russian report to NPAFC: http://www.npafc.org/new/publications/Documents/PDF%202012/1430(Russia).pdf</t>
  </si>
  <si>
    <t>2009-2011 driftnet fishery harvest volumes are taken from the TINRO Russian Far East salmon forecast annual reports (TINRO 2010-2012)</t>
  </si>
  <si>
    <t>Ocean." WWF Russia, Moscow: 2009.</t>
  </si>
  <si>
    <t>and Artukhin, Y.B; Burkanov, V.N. and Nikulin, V.S. "Accidental Bycatch of Marine Brids and Mammals in the Salmon Gillnet Fishery in the Northwestern Pacific</t>
  </si>
  <si>
    <t>Russia Data:</t>
  </si>
  <si>
    <t xml:space="preserve">2011 data is from: Sasaki, K., T. Saito, and T. Nagasawa. 2012. Japan salmon commercial catch statistics
for 2011. </t>
  </si>
  <si>
    <t>and Japan Salmon Commercial Fisheries Catch Statistics for 2010. Report to NPAFC: http://www.npafc.org/new/publications/Documents/PDF%202011/1344(Japan).pdf</t>
  </si>
  <si>
    <t>and E. Volk. 2009. Pacific Salmon Status and Abundance Trends.
NPAFC Doc. 1199, Rev. 1. 153 pp.</t>
  </si>
  <si>
    <t xml:space="preserve">and Irvine, J.R., M. Fukuwaka, T. Kaga, J.H. Park, K.B. Seong, S. Kang, V. Karpenko, N.
Klovach, H. Bartlett,  </t>
  </si>
  <si>
    <t>Japan Data:</t>
  </si>
  <si>
    <t>2010-2012 data from http://www.pac.dfo-mpo.gc.ca/stats/comm/summ-somm/index-eng.htm</t>
  </si>
  <si>
    <t>All 1993-2009 data from NPAFC Statistical Yearbook (http://www.npafc.org/new/pub_statistics.html)</t>
  </si>
  <si>
    <t>B.C. Data:</t>
  </si>
  <si>
    <t>2012 data is from http://www.adfg.alaska.gov/index.cfm?adfg=commercialbyfisherysalmon.salmoncatch</t>
  </si>
  <si>
    <t>2011 data is from 2011 Alaska harvest report to NPAFC (Volk and Josephson 2012).</t>
  </si>
  <si>
    <t>Alaska Data:</t>
  </si>
  <si>
    <t>TOTAL</t>
  </si>
  <si>
    <t>B.C.</t>
  </si>
  <si>
    <t>PNW</t>
  </si>
  <si>
    <t>Japan</t>
  </si>
  <si>
    <t>Sockeye Harvest (wild and hatchery; '000s of metric tons)</t>
  </si>
  <si>
    <t>Chinook Harvest (wild and hatchery; '000s of metric tons)</t>
  </si>
  <si>
    <t>Coho Harvest (wild and hatchery; '000s of metric tons)</t>
  </si>
  <si>
    <t>Pink Harvest (wild and hatchery; '000s of metric tons)</t>
  </si>
  <si>
    <t>Chum Harvest (wild and hatchery; '000s of metric tons)</t>
  </si>
  <si>
    <t>Vercessi, L. 2013. Alaska salmon fisheries enhancement program 2012 annual report. Alaska Department of Fish and Game, Fishery Management Report No. 13-05, Anchorage.</t>
  </si>
  <si>
    <t>2012 data from:</t>
  </si>
  <si>
    <r>
      <t xml:space="preserve">Sandher, J., Lynch, C., D. Willis, Cook, R.,  and Irvine, J. R., . 2012. </t>
    </r>
    <r>
      <rPr>
        <i/>
        <sz val="10"/>
        <color rgb="FF000000"/>
        <rFont val="Arial"/>
      </rPr>
      <t>Canadian enhanced salmonid production during 1977-2011 (1976-2010 brood years)</t>
    </r>
    <r>
      <rPr>
        <sz val="10"/>
        <color rgb="FF000000"/>
        <rFont val="Arial"/>
      </rPr>
      <t>. [pdf] NPAFC Doc. 1420. 10 pp. Fisheries and Oceans Canada. Available at: &lt;http//www.npafc.org&gt; [Accessed April 1, 2013].</t>
    </r>
  </si>
  <si>
    <r>
      <t xml:space="preserve">VNIRO (Russian Federal Research Institute of Fisheries and Oceanography), 2012. </t>
    </r>
    <r>
      <rPr>
        <i/>
        <sz val="10"/>
        <color rgb="FF000000"/>
        <rFont val="Arial"/>
      </rPr>
      <t>Biostatistical Information on Salmon Catches, and Enhancement Production in Russia in 2011</t>
    </r>
    <r>
      <rPr>
        <sz val="10"/>
        <color rgb="FF000000"/>
        <rFont val="Arial"/>
      </rPr>
      <t xml:space="preserve">. [pdf] NPAFC Doc. 1430. 4 pp. Pacific Research Fisheries Centre (TINRO-centre). Available at: &lt;http://www.npafc.org&gt; [Accessed April 1, 2013]. </t>
    </r>
  </si>
  <si>
    <r>
      <t xml:space="preserve">Sasaki, K. and Takahashi, S.,  2012. </t>
    </r>
    <r>
      <rPr>
        <i/>
        <sz val="10"/>
        <color rgb="FF000000"/>
        <rFont val="Arial"/>
      </rPr>
      <t>Preliminary 2011 salmon enhancement production in Japan</t>
    </r>
    <r>
      <rPr>
        <sz val="10"/>
        <color rgb="FF000000"/>
        <rFont val="Arial"/>
      </rPr>
      <t>. [pdf] NPAFC Doc. 1402. 3 pp. Salmon Resources Division, Hokkaido National Fisheries Research Institute,Fisheries Research Agency. Available at: &lt;www.npafc.org\&gt;. [Accessed April 2, 2013].</t>
    </r>
  </si>
  <si>
    <r>
      <t xml:space="preserve">Volk., E.C., and Josephson, E.P., 2012. </t>
    </r>
    <r>
      <rPr>
        <i/>
        <sz val="10"/>
        <color rgb="FF000000"/>
        <rFont val="Arial"/>
      </rPr>
      <t>Alaska Salmon Hatchery Releases, Commercial Fishery Catch Statistics and Sport Fishery Harvest Statistics for 2011 Season</t>
    </r>
    <r>
      <rPr>
        <sz val="10"/>
        <color rgb="FF000000"/>
        <rFont val="Arial"/>
      </rPr>
      <t>. [pdf] NPAFC Doc. 1405. 6pp. Alaska Department of Fish and Game, Division of Commercial Fisheries, P.O. Box 115526, Juneau, AK. 99811-5526.  Available at:&lt;http://www.npafc.org/new/pub_documents_2012.html&gt; [Accessed March 27, 2013].</t>
    </r>
  </si>
  <si>
    <t>2011 data from:</t>
  </si>
  <si>
    <t>B.C. and Yukon Territory</t>
  </si>
  <si>
    <t>TOTAL PRODUCTION</t>
  </si>
  <si>
    <t>Sockeye Salmon Hatchery Releases (thousands of fish)</t>
  </si>
  <si>
    <t>Chinook Salmon Hatchery Releases (thousands of fish)</t>
  </si>
  <si>
    <t>Coho Salmon Hatchery Releases (thousands of fish)</t>
  </si>
  <si>
    <t>Pink Salmon Hatchery Releases (thousands of fish)</t>
  </si>
  <si>
    <t>Chum Salmon Hatchery Releases (thousands of fish)</t>
  </si>
  <si>
    <t>2013 data from:</t>
  </si>
  <si>
    <t>Vercessi, L. 2014. Alaska salmon fisheries enhancement program 2013 annual report Alaska Department of Fish and Game, Fishery Management Report 14-12, Anchorage.</t>
  </si>
  <si>
    <t xml:space="preserve">Irvine, J.R., Sandher, J., Houtman, R., and L. Fitzpatrick. 2013. Recent Canadian Enhanced Salmonid Production and Commercial Kept Catch Estimates (1979-2012). NPAFC Doc. 1470. Rev.1. 9 pp. </t>
  </si>
  <si>
    <t>Klovach N.V., O.S. Temnykh, V.A. Shevlyakov, A.V. Bugaev, A.M. Kaev, V.V. Volobuev. 2013. Biostatistical information on salmon catches, and enhancement production in Russia in 2012. NPAFC Doc. 1487. 4 pp. The following branches of the Russian Federal Fisheries Agency: VNIRO, TINRO-Centre, KamchatNIRO, SakhNIRO, MagadanNIRO, Russia.</t>
  </si>
  <si>
    <t>1997-2010 data from NPAFC Statistical Yearbook (http://www.npafc.org/new/pub_statistics.html)</t>
  </si>
  <si>
    <t xml:space="preserve">2012 data is from: Sasaki, K., Saito, T., and Nagasawa, T. 2013. Japan salmon commercial catch statistics for 2012. NPAFC Doc. 1465 . 2 pp. </t>
  </si>
  <si>
    <t>NPAFC Doc. 1401. 2 pp. Hokkaido National Fisheries Research Institute, Fisheries Research Agency.</t>
  </si>
  <si>
    <t xml:space="preserve">Sasaki, K. and Takahashi, S. 2013. Preliminary 2012 salmon enhancement production in Japan. NPAFC Doc. 1466, Rev. 1 3 pp. </t>
  </si>
  <si>
    <t>North Pacific Anadromous Fish Commission. 2013. "North Pacific-wide Salmon Catches Continue At Near Historic High Levels." Press Release. November 26, 2013. http://www.npafc.org/new/publications/Media%20Release/NPAFCAnnualMeeting2013.pdf</t>
  </si>
  <si>
    <t>North Pacific Anadromous Fish Commission. 2014. "2013 North Pacific Salmon Catch is Second Highest in History." Press Release. May 12-16, 2014. http://www.npafc.org/new/events/annual/NewsRelease14(IV).pdf</t>
  </si>
  <si>
    <t>All 2013 Data (Preliminary):</t>
  </si>
  <si>
    <t>1.  Request from managers the implementation of hatchery reform activities as identified by the Hatchery Scientific Review Group.
2.  Request from managers that habitat alterations and dam removal be explored as viable tools to re-energize stock vitality.
3.  Where appropriate, encourage the development of a credible FIP.</t>
  </si>
  <si>
    <t xml:space="preserve">1.  Support watershed restoration efforts in region, including dam removal where applicable.
2.  Urge managers to improve coded wire tagging coverage of indicator stocks.
3.  Support hatchery reform activities as identified by the Hatchery Scientific Review Group..
</t>
  </si>
  <si>
    <t>2011-2012</t>
  </si>
  <si>
    <t>2012-2013</t>
  </si>
  <si>
    <t>C, 0(P1), 0(P2), 0(P3)</t>
  </si>
  <si>
    <t>C, 5(P1), 2(P2), 4(P3)</t>
  </si>
  <si>
    <t>C, 7(P1), 1(P2), 3(P3)</t>
  </si>
  <si>
    <t>C, 4(P1), 0(P2), 0(P3)</t>
  </si>
  <si>
    <t>C, 1(P1), 0(P2), 0(P3)</t>
  </si>
  <si>
    <t>C, 1(P1), 1(P2), 0(P3)</t>
  </si>
  <si>
    <t>MSC Status</t>
  </si>
  <si>
    <t>W</t>
  </si>
  <si>
    <t>Years of Harvest (average of two years)</t>
  </si>
  <si>
    <t>C, 3(P1), 0(P2), 0(P3)</t>
  </si>
  <si>
    <t>FA</t>
  </si>
  <si>
    <t>C, 2(P1), 0(P2), 0(P3)</t>
  </si>
  <si>
    <t>F</t>
  </si>
  <si>
    <t xml:space="preserve"> C, 2(P1), 0(P2), 0(P3)</t>
  </si>
  <si>
    <t>C, 19(P1), 4(P2), 10(P3)</t>
  </si>
  <si>
    <t>~8% of vol. FA</t>
  </si>
  <si>
    <t>C, 1(P1), 3(P2), 2(P3)</t>
  </si>
  <si>
    <t>C, 1(P1), 1(P2), 1(P3)</t>
  </si>
  <si>
    <t>C, 3(P1), 3(P2), 2(P3)</t>
  </si>
  <si>
    <t>~9% of vol. C, 3(P1), 3(P2), 2(P3)</t>
  </si>
  <si>
    <t>~45% of vol. C, 1(P1), 3(P2), 2(P3)</t>
  </si>
  <si>
    <t>~4% of vol. C, 1(P1), 0(P2), 0(P3)</t>
  </si>
  <si>
    <t>C, 0(P1), 2(P2), 3(P3)</t>
  </si>
  <si>
    <t>C, 2(P1), 4(P2), 4(P3)</t>
  </si>
  <si>
    <t>C, 5(P1), 1(P2), 4(P3)</t>
  </si>
  <si>
    <t>C, 3(P1), 1(P2), 2(P3)</t>
  </si>
  <si>
    <t xml:space="preserve"> C, 11(P1), 3(P2), 8(P3)</t>
  </si>
  <si>
    <t>C, 0(P1), 3(P2), 2(P3)</t>
  </si>
  <si>
    <t>C, 2(P1), 3(P2), 2(P3)</t>
  </si>
  <si>
    <t>&lt;10%</t>
  </si>
  <si>
    <t>~50%</t>
  </si>
  <si>
    <t>~25%</t>
  </si>
  <si>
    <t>"A" FISHERIES</t>
  </si>
  <si>
    <t>"B" FISHERIES</t>
  </si>
  <si>
    <t>"C" FISHERIES</t>
  </si>
  <si>
    <t>Region-Grade</t>
  </si>
  <si>
    <t>Volume</t>
  </si>
  <si>
    <t>Percent of Total</t>
  </si>
  <si>
    <t>Fishery</t>
  </si>
  <si>
    <t>Volume ('000t)</t>
  </si>
  <si>
    <t>Alaska-A</t>
  </si>
  <si>
    <t>Alaska-B</t>
  </si>
  <si>
    <t>Alaska-C</t>
  </si>
  <si>
    <t>Russia-A</t>
  </si>
  <si>
    <t>Russia-B</t>
  </si>
  <si>
    <t>Russia-C</t>
  </si>
  <si>
    <t>British Columbia-A</t>
  </si>
  <si>
    <t>British Columbia</t>
  </si>
  <si>
    <t>British Columbia-B</t>
  </si>
  <si>
    <t>British Columbia-C</t>
  </si>
  <si>
    <t>Japan-C</t>
  </si>
  <si>
    <t>Species-Grade</t>
  </si>
  <si>
    <t>Percent of Total Harvest of Species</t>
  </si>
  <si>
    <t>Chinook</t>
  </si>
  <si>
    <t>Alaska Chinook-A</t>
  </si>
  <si>
    <t>Chinook: Alaska</t>
  </si>
  <si>
    <t>Chinook:BC</t>
  </si>
  <si>
    <t>Alaska Chinook-B</t>
  </si>
  <si>
    <t>BC Chinook B</t>
  </si>
  <si>
    <t>BC Chinook-C</t>
  </si>
  <si>
    <t>Chum: Russia</t>
  </si>
  <si>
    <t>Alaska Chum-A</t>
  </si>
  <si>
    <t>Chum</t>
  </si>
  <si>
    <t>Chum: Alaska</t>
  </si>
  <si>
    <t>Alaska Chum-B</t>
  </si>
  <si>
    <t>BC Chum-B</t>
  </si>
  <si>
    <t>Chinook: BC</t>
  </si>
  <si>
    <t>Russia Chum-B</t>
  </si>
  <si>
    <t>Alaska Chum-C</t>
  </si>
  <si>
    <t>Russia Chum-C</t>
  </si>
  <si>
    <t>Japan Chum-C</t>
  </si>
  <si>
    <t>Coho: Alaska</t>
  </si>
  <si>
    <t>Alaska Coho-A</t>
  </si>
  <si>
    <t>Coho</t>
  </si>
  <si>
    <t>Alaska Coho-B</t>
  </si>
  <si>
    <t>BC Coho-B</t>
  </si>
  <si>
    <t>Chum: BC</t>
  </si>
  <si>
    <t>Alaska Pink-A</t>
  </si>
  <si>
    <t>Chum: Japan</t>
  </si>
  <si>
    <t>Russia Pink-A</t>
  </si>
  <si>
    <t>Alaska Pink-B</t>
  </si>
  <si>
    <t>Pink</t>
  </si>
  <si>
    <t>Russia Pink-B</t>
  </si>
  <si>
    <t>Pink: Alaska</t>
  </si>
  <si>
    <t>BC Pink-B</t>
  </si>
  <si>
    <t>Alaska Pink-C</t>
  </si>
  <si>
    <t>Russia Pink-C</t>
  </si>
  <si>
    <t>Alaska Sockeye-A</t>
  </si>
  <si>
    <t>Pink: Russia</t>
  </si>
  <si>
    <t>BC Sockeye-A</t>
  </si>
  <si>
    <t>Sockeye</t>
  </si>
  <si>
    <t>Pink: Rusia</t>
  </si>
  <si>
    <t>Alaska Sockeye-B</t>
  </si>
  <si>
    <t>BC Sockeye-B</t>
  </si>
  <si>
    <t>Russia Sockeye-B</t>
  </si>
  <si>
    <t>Sockeye: Alaska</t>
  </si>
  <si>
    <t>Alaska Sockeye-C</t>
  </si>
  <si>
    <t>Coho: BC</t>
  </si>
  <si>
    <t>Russia Sockeye-C</t>
  </si>
  <si>
    <t>Pink: BC</t>
  </si>
  <si>
    <t>Sockeye: BC</t>
  </si>
  <si>
    <t>Sockeye: Russia</t>
  </si>
  <si>
    <t>Chinook salmon - East Pacific: Southeast Alaska (non-troll)</t>
  </si>
  <si>
    <t>Pacific Northwest</t>
  </si>
  <si>
    <t>Coho salmon - East Pacific: Oregon-Washington</t>
  </si>
  <si>
    <t>PNW-C</t>
  </si>
  <si>
    <t xml:space="preserve">Sockeye salmon - East Pacific: Bristol Bay Alaska </t>
  </si>
  <si>
    <t>Sockeye salmon - East Pacific: British Columbia Barkley Sound</t>
  </si>
  <si>
    <t xml:space="preserve">Coho salmon - East Pacific: Westward Alaska </t>
  </si>
  <si>
    <t>Chinook:PNW</t>
  </si>
  <si>
    <t>Coho: PNW</t>
  </si>
  <si>
    <t xml:space="preserve">Pink salmon - West Pacific: Khabarovsk Krai and Amur </t>
  </si>
  <si>
    <t>Pink salmon - West Pacific: Khabarovsk Krai and Amur</t>
  </si>
  <si>
    <t>PNW Chinook-C</t>
  </si>
  <si>
    <t>PNW Coho-C</t>
  </si>
  <si>
    <t>(FISHERIES WERE INDEPENDENTLY SCORED BY THE SFP SYSTEMS DIVISION FOR 5 SCORING CRITERIA, WITH INDIVIDUAL SCORES FOR 16 NESTED SUB-CRITERIA. IMPROVEMENT RECOMMENDATIONS WERE DRAFTED ON THE BASIS OF SCORING RESULTS)</t>
  </si>
  <si>
    <t xml:space="preserve">(FISHERIES WERE GRANTED QUALITATIVE SCORES FOR THE FIVE CRITERIA, WITH NO SCORING OF NESTED SUB-CRITERIA. SCORES WERE TAKEN FROM MSC ASSESSMENTS FOR THOSE FISHERIES INVOLVED IN THE MSC PROGRAM) </t>
  </si>
  <si>
    <t>(Percent)</t>
  </si>
  <si>
    <t>MSC Certified</t>
  </si>
  <si>
    <t>Full Assess</t>
  </si>
  <si>
    <t>TOTAL:</t>
  </si>
  <si>
    <t>MSC/FIP Status</t>
  </si>
  <si>
    <t>MSC-c</t>
  </si>
  <si>
    <t xml:space="preserve">Chum salmon - East Pacific: Fraser River British Columbia </t>
  </si>
  <si>
    <t xml:space="preserve">Chum salmon - East Pacific: Inner South Coast British Columbia </t>
  </si>
  <si>
    <t xml:space="preserve">Chum salmon - East Pacific: North-Central Coast and Haida Gwaii British Columbia </t>
  </si>
  <si>
    <t xml:space="preserve">Chum salmon - East Pacific: West Vancouver Island British Columbia </t>
  </si>
  <si>
    <t xml:space="preserve">Coho salmon - East Pacific: North-Central Coast and Haida Gwaii British Columbia </t>
  </si>
  <si>
    <t xml:space="preserve">Pink salmon - East Pacific: Fraser River British Columbia </t>
  </si>
  <si>
    <t>Pink salmon - East Pacific: Inner South Coast British Columbia</t>
  </si>
  <si>
    <t xml:space="preserve">Pink salmon - East Pacific: North-Central Coast and Haida Gwaii British Columbia </t>
  </si>
  <si>
    <t xml:space="preserve">Sockeye salmon - East Pacific: Fraser River British Columbia </t>
  </si>
  <si>
    <t xml:space="preserve">Sockeye salmon - East Pacific: Skeena River British Columbia </t>
  </si>
  <si>
    <t>FIP</t>
  </si>
  <si>
    <t xml:space="preserve">Sockeye salmon - East Pacific: Barkley Sound British Columbia </t>
  </si>
  <si>
    <t xml:space="preserve">Sockeye salmon - East Pacific: Nass River British Columbia </t>
  </si>
  <si>
    <t>FA (Narody Severa-Bolsheretsk portion)</t>
  </si>
  <si>
    <t>Chinook salmon - East Pacific: California-Oregon-Washington (troll)</t>
  </si>
  <si>
    <t>Chinook salmon - East Pacific: California-Oregon-Washington (non-troll)</t>
  </si>
  <si>
    <t>Chinook salmon - East Pacific: Southeast Alaska (non-troll) (NO PROFILE)</t>
  </si>
  <si>
    <t>Chinook salmon -West Pacific:  East Kamchatka (NO PROFILE)</t>
  </si>
  <si>
    <t>Chinook salmon -West Pacific: West Kamchatka (NO PROFILE)</t>
  </si>
  <si>
    <t>Coho salmon -West Pacific:  East Kamchatka (NO PROFILE)</t>
  </si>
  <si>
    <t>Coho salmon -West Pacific: Magadan &amp; Khabarovsk (NO PROFILE)</t>
  </si>
  <si>
    <t>Coho salmon - East Pacific: Oregon-Washington (troll)</t>
  </si>
  <si>
    <t>Coho salmon - East Pacific: Oregon-Washington (non-troll) (NO PROFILE)</t>
  </si>
  <si>
    <t>Chum salmon - East Pacific: Washington State (NO PROFILE)</t>
  </si>
  <si>
    <t>Pink salmon - West Pacific: Japan (NO PROFILE)</t>
  </si>
  <si>
    <t>Iturup pink and chum (2009)</t>
  </si>
  <si>
    <t>B.C. sockeye (2010)</t>
  </si>
  <si>
    <t>B.C. pink (2011)</t>
  </si>
  <si>
    <t>Annette Island salmon (2011)</t>
  </si>
  <si>
    <t>NE Sakhalin pink (2012)</t>
  </si>
  <si>
    <t>Ozernaya sockeye (2012)</t>
  </si>
  <si>
    <t>B.C. chum (2013)</t>
  </si>
  <si>
    <t>Closed Conditions</t>
  </si>
  <si>
    <t>Open Conditions: On Track</t>
  </si>
  <si>
    <t>Open Conditions: Past Due</t>
  </si>
  <si>
    <t>Alaska salmon (2013)</t>
  </si>
  <si>
    <t>2011 data: pers. comm with Nancy Davis, NPAFC (preliminary)</t>
  </si>
  <si>
    <t>2012 data (preliminary): from North Pacific Anadromous Fish Commission. 2013. "North Pacific-wide Salmon Catches Continue At Near Historic High Levels." Press Release. November 26, 2013. http://www.npafc.org/new/publications/Media%20Release/NPAFCAnnualMeeting2013.pdf</t>
  </si>
  <si>
    <t>North Pacific Anadromous Fish Commission. 2014. "2013 North Pacific Salmon Catch is Second Highest in History." Press Release. May 12-16, 2014. (http://www.npafc.org/new/events/annual/NewsRelease14(IV).pdf (Preliminary)</t>
  </si>
  <si>
    <t>(Pacific Northwest data) pers. comm with Nancy Davis, NPAFC (preliminary)</t>
  </si>
  <si>
    <t>ALL SPECIES</t>
  </si>
  <si>
    <t>U = Umbrella fishery profile, aggregates scores from multiple nested fishery profiles</t>
  </si>
  <si>
    <t>Fishery profile name</t>
  </si>
  <si>
    <t>U</t>
  </si>
  <si>
    <t>5.1 Hatchery Proportion of Harvest</t>
  </si>
  <si>
    <t>5.2 Wild Stock Management</t>
  </si>
  <si>
    <t>5.3a Straying</t>
  </si>
  <si>
    <t>5.4 Intentional Stock Mixing</t>
  </si>
  <si>
    <t>5.5 Policies</t>
  </si>
  <si>
    <t>C, 1=0(P1), 0(P2), 0(P3)</t>
  </si>
  <si>
    <t>All Species Harvest (wild and hatchery; '000s of metric tons)</t>
  </si>
  <si>
    <t>Salmon Hatchery Releases (all species, thousands of fish)</t>
  </si>
  <si>
    <t>Total</t>
  </si>
  <si>
    <t>MSC Full Assess</t>
  </si>
  <si>
    <t>Not Engaged</t>
  </si>
  <si>
    <t>% Change in engagement</t>
  </si>
  <si>
    <t>2013 numbers: from Portley et al. 2013, Annex A (2013 edition of this report)</t>
  </si>
  <si>
    <t>no new fishery engagement</t>
  </si>
  <si>
    <t>Open Conditions on Track</t>
  </si>
  <si>
    <t>Open Conditions past Due</t>
  </si>
  <si>
    <t>Iturup pink &amp; chum</t>
  </si>
  <si>
    <t>B.C. sockeye</t>
  </si>
  <si>
    <t>B.C. pink</t>
  </si>
  <si>
    <t>Annette Island salmon</t>
  </si>
  <si>
    <t>NE Sakhalin pink</t>
  </si>
  <si>
    <t>Ozernaya sockeye</t>
  </si>
  <si>
    <t>B.C. chum</t>
  </si>
  <si>
    <t>Alaska salmon</t>
  </si>
  <si>
    <t>% of conditions closed</t>
  </si>
  <si>
    <t>% of conditions past due</t>
  </si>
  <si>
    <t>2014 (new certificate)</t>
  </si>
  <si>
    <t xml:space="preserve">1. Establish a maximum percent cumulative error in achieving target catch and compensate for harvest overages in subsequent years (through adjustment to the catch limit or to the abundance index). 
2. Reestablish the integrity of the Coded Wire Tagging program through Pacific Salmon Treaty proceedings.
3. Renew the Alaska Coastal Zone Management Program.
 4. Take action to limit incidental mortality (delay the summer opening in the coho fishery, reduce power troll effort through a buy-back program). 
5. Continue to expand efforts to accurately estimate escapements in areas that have historically been poorly monitored (i.e., the Pacific Salmon Commission Sentinel Stock Program).
</t>
  </si>
  <si>
    <t>1.1b Catch vs. TAC (offshore fisheries)</t>
  </si>
  <si>
    <t>3.4 Stock Identification (offshore fisheries)</t>
  </si>
  <si>
    <t>5.3b Hatchery Influence on TAC (offshore fisheries)</t>
  </si>
  <si>
    <t>Offshore Fisheries</t>
  </si>
  <si>
    <t>Percent of Total Offshore Harvest</t>
  </si>
  <si>
    <t>Key to MSC condition status:  C = certified; FA = full assessment;  F = failed ; W = withdrawn</t>
  </si>
  <si>
    <t>&gt;60%</t>
  </si>
  <si>
    <t>North Coast British Columbia Chinook troll</t>
  </si>
  <si>
    <t>Southeast Alaska Chinook and coho troll</t>
  </si>
  <si>
    <t xml:space="preserve">West Coast Vancouver Island British Columbia Chinook troll
</t>
  </si>
  <si>
    <t>Russia sockeye and chum offshore driftnet</t>
  </si>
  <si>
    <t xml:space="preserve">Japan sockeye and chum offshore driftnet in Russian EEZ
</t>
  </si>
  <si>
    <t xml:space="preserve">Pacific Northwest Chinook and coho troll
</t>
  </si>
  <si>
    <t>Chum salmon - West Pacific: West Kamchatka (Narody Severa Bolsheretsk)</t>
  </si>
  <si>
    <t>Pink salmon - West Pacific: West Kamchatka (Narody Severa Bolsheretsk)</t>
  </si>
  <si>
    <t>Coho salmon -West Pacific: West Kamchatka (Narody Severa - Bolsheretsk) (NO PROFILE)</t>
  </si>
  <si>
    <t>Sockeye salmon - West Pacific: West Kamchatka (Narody-Severa Bolsheretsk)</t>
  </si>
  <si>
    <t>Sockeye salmon - West Pacific: West Kamchatka (non-MSC)</t>
  </si>
  <si>
    <t>Pink salmon - West Pacific: West Kamchatka (non-MSC)</t>
  </si>
  <si>
    <t>Coho salmon -West Pacific: West Kamchatka (non-MSC) (NO PROFILE)</t>
  </si>
  <si>
    <t>Chum salmon - West Pacific: West Kamchatka (non-MSC)</t>
  </si>
  <si>
    <t>FIP (Narody Severa-Bolsheretsk portion)</t>
  </si>
  <si>
    <t>stalled</t>
  </si>
  <si>
    <t>1. Improve monitoring of Fraser River steelhead salmon bycatch in the Fraser and Inner South Coast chum salmon fisheries.
2. Make full funding available for implementation of the Wild Salmon Policy, including development of Lower Evaluation Benchmarks for all salmon Conservation Units.
3. Improve escapement monitoring of weak stocks in the North-Central Coast, West Coast Vancouver Island, and Inner South Coast regions of British Columbia .</t>
  </si>
  <si>
    <t>1. Write a letter to the Canadian Prime Minister urging full implementation and funding of the Wild Salmon Policy as recommended by the Cohen Commission.
2. Encourage Department of Fisheries and Oceans Canada to complete benchmarking of all salmon Conservation Units and incorporate Unit status into stock groupings used for management.
3. Encourage Department of Fisheries and Oceans Canada to reduce stressors to wild salmon by improving the transparency and alignment of scientific research and fisheries management.</t>
  </si>
  <si>
    <t>1. Make the Hokkaido Wild Salmon Policy official and begin integrating wild stock-focused management into policies and programs.
2. Conduct additional studies to determine the abundance and origins of wild stocks recently discovered on Hokkaido.</t>
  </si>
  <si>
    <t>1. Communicate through the supply chain that condition-free MSC-level results are expected by industry from all fishery sources.
2. Support the call for straying studies, marking programs and a moratorium on hatchery expansion until such time as risks to wild populations from hatchery impacts are, at the highest level, ascertained and integrated into management objectives.</t>
  </si>
  <si>
    <t>profile names in red text: profile scores and improvement asks not yet finalized (under review in November 2014)</t>
  </si>
  <si>
    <t>1. A hatchery mark and recapture program is sorely needed in this fishery.
2. Government funding should be directed toward the restoration and functioning of fishery observation and research stations of Khabarovsk Krai, in order to improve escapement monitoring. 
3. Additional government resources are needed to bolster anti-poaching enforcement.</t>
  </si>
  <si>
    <t xml:space="preserve">1. Support local efforts to reduce illegal fishing, including observer programs, catch verification, and traceability measures.
2. Improved monitoring is needed to quantify impacts of set net bycatch on kaluga, Sakhalin taimen, coho salmon and arctic char.
3. Mark-and-recapture study results for chum salmon, used to quantify straying of hatchery fish into wild spawning streams, should be made public. 
4. Long-term recovery measures for Sakhalin wild chum salmon, which is in a depressed state, should be undertaken to supplement year-to-year measures. </t>
  </si>
  <si>
    <t xml:space="preserve">1. Work to more clearly define management objectives, or 'benchmarking' (e.g. establishing maximum allowable harvest rates, escapement goals, and/or limit reference points) for many Conservation Units in the fishery, particularly those that are depleted, needs to continue. Benchmarking of B.C. sockeye salmon Conservation Units has been underway in earnest for several years, particularly for the Fraser and Skeena river basins,  but results have not yet been integrated holistically into fisheries management outside Barkley Sound.
2. In light of the recent Mt. Polley tailings spill into the upper Fraser River basin, pay particular attention toward protection of sockeye salmon habitat, including continued scrutiny of the planned Enbridge pipeline project.
3. Improve bycatch monitoring for non-target species (Fraser/Skeena steelhead, Fraser white sturgeon, Nass/Skeena chum. </t>
  </si>
  <si>
    <t>1. Complete benchmarking of all salmon Conservation Units. Ensure that status information for all Units is publicly available. Furthermore, ensure that Unit status is effectively incorporated into stock groupings used for commercial fishery management. Undertake robust recovery planning for all Units in the “Red Zone,” i.e., below their lower benchmarks (Wild Salmon Policy Strategy 1).
2. Develop a comprehensive and scientifically defensible system for catch reporting and compliance monitoring for target and non-target catches.
3. Provide scientifically defensible estimates of short- and long-term post-release survival of bycatch and include these estimates in management plans.
4. Provide scientifically defensible estimates of fisheries impact on non-target stocks.
5. Implement Management Reference Points for each Conservation Unit to improve management transparency and accountability.
6. Implement all recommendations from the Cohen Commission final report, including:
- Full implementation of the Wild Salmon Policy (including timelines and milestones);
- Creation of a new position within the Department of Fisheries and Oceans to “champion” WSP implementation;
- Establishment of dedicated funding for Wild Salmon Policy implementation;
- Removal of the mandate to promote salmon farming from Department of Fisheries and Oceans Canada; and
- curtailment of salmon aquaculture production and licensing along wild salmon migration paths, as well as increased research into impacts of aquaculture on wild fish.
7. In light of the recent Mt. Polley tailings spill into the upper Fraser River basin, particular attention should be paid toward protection of sockeye salmon habitat, including continued scrutiny of the planned Enbridge pipeline project.</t>
  </si>
  <si>
    <t xml:space="preserve">1. Work to more clearly define management objectives, or 'benchmarking' (e.g. establishing maximum allowable harvest rates, escapement goals, and/or limit reference points) for Conservation Units in the fishery, particularly those that are depleted, needs to be tackled in earnest for B.C. pink salmon, as it has for B.C. sockeye salmon. Benchmarking should furthermore be integrated into fisheries management.
2. In light of the recent Mt. Polley tailings spill into the upper Fraser River basin, pay particular attention toward protection of sockeye salmon habitat, including continued scrutiny of the planned Enbridge pipeline project.
3. Improve bycatch monitoring for non-target species (particularly Fraser steelhead and white sturgeon and Nass/Skeena chum). </t>
  </si>
  <si>
    <t xml:space="preserve">1. Support the call for a moratorium on hatchery expansion until such time as risks to wild populations from hatchery impacts are, at the highest level, ascertained and integrated into management objectives.
2. Work to improve quantification of hatchery contribution to the fishery and straying into wild spawning areas should be continued.
3. Gidrostroy (main fishing company in the district fishery) should develop a stock recovery action plan for the Lebidinoe Lake wild chum stock. </t>
  </si>
  <si>
    <t>UUIDs</t>
  </si>
  <si>
    <t>95c1b936-5430-11dd-9a7b-daf105bfb8c2</t>
  </si>
  <si>
    <t>652b3800-2a2f-11e1-bc02-40406781a598</t>
  </si>
  <si>
    <t>bfecff86-2a3d-11e1-8b3b-40406781a598</t>
  </si>
  <si>
    <t>f798006e-2a3f-11e1-b576-40406781a598</t>
  </si>
  <si>
    <t>4072ab4a-22bb-11e1-ae3c-40406781a598</t>
  </si>
  <si>
    <t>aea32982-a408-11e0-9412-40406781a598</t>
  </si>
  <si>
    <t>1f23329c-322f-11e1-87f9-40406781a598</t>
  </si>
  <si>
    <t>f379ce9c-4073-11e0-9d8b-40406781a598</t>
  </si>
  <si>
    <t>075e196a-eeaa-11e0-9d8e-40406781a598</t>
  </si>
  <si>
    <t>63f8143a-2687-11dd-a4e9-daf105bfb8c2</t>
  </si>
  <si>
    <t>2a76f8d0-4153-11e1-8fcf-40406781a598</t>
  </si>
  <si>
    <t>a9ace648-9d17-11e2-9d13-40406781a598</t>
  </si>
  <si>
    <t>180a90ce-4038-11e1-8dff-40406781a598</t>
  </si>
  <si>
    <t>d5b599a6-4039-11e1-9d32-40406781a598</t>
  </si>
  <si>
    <t>2b0bb2c6-c369-11e0-a237-40406781a598</t>
  </si>
  <si>
    <t>84c0f4a8-c27d-11e0-adfe-40406781a598</t>
  </si>
  <si>
    <t>e312d56a-fb6e-11e0-83d1-40406781a598</t>
  </si>
  <si>
    <t>56a8f5a4-5c2c-11e1-9214-40406781a598</t>
  </si>
  <si>
    <t>b381ea5e-5061-11dd-995e-daf105bfb8c2</t>
  </si>
  <si>
    <t>ee05591e-322f-11e1-a9d8-40406781a598</t>
  </si>
  <si>
    <t>55c735de-4ebf-11dd-995e-daf105bfb8c2</t>
  </si>
  <si>
    <t>4740d676-322f-11e1-bdaa-40406781a598</t>
  </si>
  <si>
    <t>0670ec36-31e8-11e1-9c6a-40406781a598</t>
  </si>
  <si>
    <t>bc714e22-31e8-11e1-a6e7-40406781a598</t>
  </si>
  <si>
    <t>3d73f524-31e9-11e1-a5fd-40406781a598</t>
  </si>
  <si>
    <t>6471a5b4-4ec0-11dd-a89d-daf105bfb8c2</t>
  </si>
  <si>
    <t>6579dd72-a51b-11e1-900b-40406781a598</t>
  </si>
  <si>
    <t>73b8e948-6784-11e1-886c-40406781a598</t>
  </si>
  <si>
    <t>17629928-eea8-11e0-ab31-40406781a598</t>
  </si>
  <si>
    <t>a7616d3e-eea7-11e0-b9de-40406781a598</t>
  </si>
  <si>
    <t>a8e281aa-fb06-11e0-a888-40406781a598</t>
  </si>
  <si>
    <t>7b251cd6-fb02-11e0-9753-40406781a598</t>
  </si>
  <si>
    <t>f2afbd32-fafe-11e0-a323-40406781a598</t>
  </si>
  <si>
    <t>99407ba8-4763-11dd-a7b0-daf105bfb8c2</t>
  </si>
  <si>
    <t>3ca92da8-bb28-11e1-b93f-40406781a598</t>
  </si>
  <si>
    <t>761229da-e21b-11dd-b2a0-daf105bfb8c2</t>
  </si>
  <si>
    <t>6a7235a2-4ed7-11dd-a89d-daf105bfb8c2</t>
  </si>
  <si>
    <t>7bd95000-1a6d-11e0-8053-40406781a598</t>
  </si>
  <si>
    <t>c5638cd6-e21b-11dd-b2a0-daf105bfb8c2</t>
  </si>
  <si>
    <t>052845a4-aca0-11e0-b0cb-40406781a598</t>
  </si>
  <si>
    <t>40b6b29e-e0ae-11e0-b7e0-40406781a598</t>
  </si>
  <si>
    <t>18500db6-e0b6-11e0-b5b6-40406781a598</t>
  </si>
  <si>
    <t>f4359a9c-e0b8-11e0-9341-40406781a598</t>
  </si>
  <si>
    <t>975cfdca-e0b7-11e0-9383-40406781a598</t>
  </si>
  <si>
    <t>3bd4d1a6-e0b4-11e0-878c-40406781a598</t>
  </si>
  <si>
    <t>d4047426-d4b2-11e0-8a2c-40406781a598</t>
  </si>
  <si>
    <t>6c424480-d4b2-11e0-820c-40406781a598</t>
  </si>
  <si>
    <t>7f3128e0-37c2-11e1-a2fb-40406781a598</t>
  </si>
  <si>
    <t>0a06a380-d25d-11e0-bb24-40406781a598</t>
  </si>
  <si>
    <t>6f041fe6-d4b1-11e0-bb49-40406781a598</t>
  </si>
  <si>
    <t>fc0f8758-d3f4-11e0-85c7-40406781a598</t>
  </si>
  <si>
    <t>c49a848a-c33c-11e0-9493-40406781a598</t>
  </si>
  <si>
    <t>392c8250-4153-11e1-9960-40406781a598</t>
  </si>
  <si>
    <t>22a72ecc-2a29-11e1-a06c-40406781a598</t>
  </si>
  <si>
    <t>e2ee1538-27cc-11e1-a3cf-40406781a598</t>
  </si>
  <si>
    <t>d69e952e-4152-11e1-a244-40406781a598</t>
  </si>
  <si>
    <t>ff968a82-4151-11e1-890a-40406781a598</t>
  </si>
  <si>
    <t>b1f3bff6-4152-11e1-affe-40406781a598</t>
  </si>
  <si>
    <t>0c7702b4-92af-11e1-bcf8-40406781a598</t>
  </si>
  <si>
    <t>45dad7ce-af51-11e1-ad24-40406781a598</t>
  </si>
  <si>
    <t>5166d766-c570-11e1-8a9d-40406781a598</t>
  </si>
  <si>
    <t>ac883f30-b996-11e1-9a07-40406781a598</t>
  </si>
  <si>
    <t>ac1530da-ced6-11e1-b0cd-40406781a598</t>
  </si>
  <si>
    <t>cede3f0c-67e9-11e1-9082-40406781a598</t>
  </si>
  <si>
    <t>c95bedda-fb07-11e0-a73c-40406781a598</t>
  </si>
  <si>
    <t>3cf69006-fb03-11e0-af46-40406781a598</t>
  </si>
  <si>
    <t>b85de0f4-faaa-11e0-ad11-40406781a598</t>
  </si>
  <si>
    <t>78aa64cc-fb05-11e0-901f-40406781a598</t>
  </si>
  <si>
    <t>23d59ff4-eea6-11e0-bf79-40406781a598</t>
  </si>
  <si>
    <t>06d7bf58-e0ba-11e0-ac92-40406781a598</t>
  </si>
  <si>
    <t>bdc8edea-e0ba-11e0-9ce6-40406781a598</t>
  </si>
  <si>
    <t>2b70cad8-fb74-11e0-a1e5-40406781a598</t>
  </si>
  <si>
    <t>cdd255ce-ff5e-11e0-a215-40406781a598</t>
  </si>
  <si>
    <t>2d37668c-ff62-11e0-b566-40406781a598</t>
  </si>
  <si>
    <t>ae1f4fbe-ff60-11e0-8b09-40406781a598</t>
  </si>
  <si>
    <t>38121436-5c2c-11e1-82eb-40406781a598</t>
  </si>
  <si>
    <t>22b82c68-5c29-11e1-9ab2-40406781a598</t>
  </si>
  <si>
    <t>6cfabcec-322f-11e1-9e3c-40406781a598</t>
  </si>
  <si>
    <t>99ab80dc-322f-11e1-8695-40406781a598</t>
  </si>
  <si>
    <t>ee70fbe8-322e-11e1-a3b2-40406781a598</t>
  </si>
  <si>
    <t>4006eee6-7194-11e1-8774-40406781a598</t>
  </si>
  <si>
    <t>b99370ee-322f-11e1-92d0-40406781a598</t>
  </si>
  <si>
    <t>04428cb2-c36b-11e0-908b-40406781a598</t>
  </si>
  <si>
    <t>16e98658-c36c-11e0-b426-40406781a598</t>
  </si>
  <si>
    <t>82a3b066-c36d-11e0-9609-40406781a598</t>
  </si>
  <si>
    <t>839ac424-aca1-11e0-8452-40406781a598</t>
  </si>
  <si>
    <t>990e0de6-e21b-11dd-a781-daf105bfb8c2</t>
  </si>
  <si>
    <t>c3ab5176-21fb-11e1-842b-40406781a598</t>
  </si>
  <si>
    <t>cf3c2504-aca0-11e0-b5bb-40406781a598</t>
  </si>
  <si>
    <t>e8b1a176-c33e-11e0-8824-40406781a598</t>
  </si>
  <si>
    <t>1dad86ee-c33d-11e0-8b95-40406781a598</t>
  </si>
  <si>
    <t>53dc8a3e-c33e-11e0-aa12-40406781a598</t>
  </si>
  <si>
    <t>ffab7256-d4b1-11e0-a56a-40406781a598</t>
  </si>
  <si>
    <t>Buskin Lake</t>
  </si>
  <si>
    <t>sockeye</t>
  </si>
  <si>
    <t>Kodiak</t>
  </si>
  <si>
    <t>Pasagshak River</t>
  </si>
  <si>
    <t>SKS</t>
  </si>
  <si>
    <t>Frazer Lake</t>
  </si>
  <si>
    <t>Upper Station River Late Run</t>
  </si>
  <si>
    <t>Upper Station River Early Run</t>
  </si>
  <si>
    <t>Ayakulik River Late Run</t>
  </si>
  <si>
    <t>Ayakulik River Early Run</t>
  </si>
  <si>
    <t>Karluk River Late Run</t>
  </si>
  <si>
    <t>Karluk River Early Run</t>
  </si>
  <si>
    <t>SKL</t>
  </si>
  <si>
    <t>Chignik River Late Run</t>
  </si>
  <si>
    <t>Chignik</t>
  </si>
  <si>
    <t>Chignik River Early Run</t>
  </si>
  <si>
    <t>AK Peninsula</t>
  </si>
  <si>
    <t>Nelson River</t>
  </si>
  <si>
    <t>Ilnik River</t>
  </si>
  <si>
    <t>Norton Sound</t>
  </si>
  <si>
    <t>Kogrukluk River</t>
  </si>
  <si>
    <t>Kuskokwim</t>
  </si>
  <si>
    <t>Kanektok River</t>
  </si>
  <si>
    <t>Middle Fork Goodnews River</t>
  </si>
  <si>
    <t>North (Main) Fork Goodnews River</t>
  </si>
  <si>
    <t>Eshamy Lake</t>
  </si>
  <si>
    <t>Prince William Sound</t>
  </si>
  <si>
    <t>Coghill Lake</t>
  </si>
  <si>
    <t>Bering River</t>
  </si>
  <si>
    <t>Copper</t>
  </si>
  <si>
    <t>Copper River Delta</t>
  </si>
  <si>
    <t>Upper Copper River</t>
  </si>
  <si>
    <t xml:space="preserve">Amakdedori Creek </t>
  </si>
  <si>
    <t>Lower Cook Inlet</t>
  </si>
  <si>
    <t xml:space="preserve">Chenik Lake </t>
  </si>
  <si>
    <t xml:space="preserve">Mikfik Lake </t>
  </si>
  <si>
    <t xml:space="preserve">Aialik Lake </t>
  </si>
  <si>
    <t>Bear Lake</t>
  </si>
  <si>
    <t>Desire Lake</t>
  </si>
  <si>
    <t xml:space="preserve">Delight Lake </t>
  </si>
  <si>
    <t>English Bay</t>
  </si>
  <si>
    <t>Larson Lake</t>
  </si>
  <si>
    <t>Upper Cook Inlet</t>
  </si>
  <si>
    <t>Judd Lake</t>
  </si>
  <si>
    <t>Chelatna Lake</t>
  </si>
  <si>
    <t>Russian River - Late Run</t>
  </si>
  <si>
    <t>Russian River - Early Run</t>
  </si>
  <si>
    <t>Packers Creek</t>
  </si>
  <si>
    <t>Kenai River</t>
  </si>
  <si>
    <t>Kasilof River</t>
  </si>
  <si>
    <t>Fish Creek (Knik)</t>
  </si>
  <si>
    <t>Crescent River</t>
  </si>
  <si>
    <t>Togiak River</t>
  </si>
  <si>
    <t>Bristol Bay</t>
  </si>
  <si>
    <t>Nushagak River</t>
  </si>
  <si>
    <t>Igushik River</t>
  </si>
  <si>
    <t>Wood River</t>
  </si>
  <si>
    <t>Ugashik River</t>
  </si>
  <si>
    <t>Egegik River</t>
  </si>
  <si>
    <t>Naknek River</t>
  </si>
  <si>
    <t>Alagnak River</t>
  </si>
  <si>
    <t>Kvichak River</t>
  </si>
  <si>
    <t>Situk River</t>
  </si>
  <si>
    <t>SEAK</t>
  </si>
  <si>
    <t>Lost River</t>
  </si>
  <si>
    <t>Klukshu River</t>
  </si>
  <si>
    <t>East Alsek-Doame River</t>
  </si>
  <si>
    <t>Chilkoot Lake</t>
  </si>
  <si>
    <t>Chilkat Lake</t>
  </si>
  <si>
    <t>Redoubt Lake</t>
  </si>
  <si>
    <t>Taku River</t>
  </si>
  <si>
    <t>Speel Lake</t>
  </si>
  <si>
    <t>Tahltan Lake</t>
  </si>
  <si>
    <t>Mainstem Stikine River</t>
  </si>
  <si>
    <t>McDonald Lake</t>
  </si>
  <si>
    <t>Hugh Smith Lake</t>
  </si>
  <si>
    <t>odd</t>
  </si>
  <si>
    <t>Kodiak Archipelago</t>
  </si>
  <si>
    <t>pink</t>
  </si>
  <si>
    <t>even</t>
  </si>
  <si>
    <t xml:space="preserve">Mainland District </t>
  </si>
  <si>
    <t>Entire Chignik Area</t>
  </si>
  <si>
    <t>South Peninsula Total</t>
  </si>
  <si>
    <t>Niukluk River</t>
  </si>
  <si>
    <t>Kwiniuk River</t>
  </si>
  <si>
    <t>Southwestern District</t>
  </si>
  <si>
    <t>Southeastern District</t>
  </si>
  <si>
    <t>Northwestern District</t>
  </si>
  <si>
    <t>Northern District</t>
  </si>
  <si>
    <t>Montague District</t>
  </si>
  <si>
    <t>Eshamy District</t>
  </si>
  <si>
    <t>Eastern District</t>
  </si>
  <si>
    <t>Coghill District</t>
  </si>
  <si>
    <t>Brown's Peak Creek</t>
  </si>
  <si>
    <t>Sunday Creek</t>
  </si>
  <si>
    <t>Bruin River</t>
  </si>
  <si>
    <t>Desire Lake Creek</t>
  </si>
  <si>
    <t>S. Nuka Island Creek</t>
  </si>
  <si>
    <t>Island Creek</t>
  </si>
  <si>
    <t>Port Dick Creek</t>
  </si>
  <si>
    <t>Rocky River</t>
  </si>
  <si>
    <t>Windy Creek Left</t>
  </si>
  <si>
    <t>Windy Creek Right</t>
  </si>
  <si>
    <t xml:space="preserve">Port Chatham </t>
  </si>
  <si>
    <t>Port Graham River</t>
  </si>
  <si>
    <t>Seldovia Creek</t>
  </si>
  <si>
    <t>Barabara Creek</t>
  </si>
  <si>
    <t>Tutka Creek</t>
  </si>
  <si>
    <t>China Poot Creek</t>
  </si>
  <si>
    <t>Humpy Creek</t>
  </si>
  <si>
    <t>Northern Southeast Outside</t>
  </si>
  <si>
    <t>Northern Southeast Inside</t>
  </si>
  <si>
    <t>Southern Southeast</t>
  </si>
  <si>
    <t>American River</t>
  </si>
  <si>
    <t>coho</t>
  </si>
  <si>
    <t>Olds River</t>
  </si>
  <si>
    <t>Buskin River</t>
  </si>
  <si>
    <t>North River (Unalakleet R.)</t>
  </si>
  <si>
    <r>
      <t>Niukluk River</t>
    </r>
    <r>
      <rPr>
        <vertAlign val="superscript"/>
        <sz val="10"/>
        <rFont val="Arial"/>
      </rPr>
      <t>l</t>
    </r>
  </si>
  <si>
    <t>Delta Clearwater River</t>
  </si>
  <si>
    <t>Yukon</t>
  </si>
  <si>
    <t>Kwethluk River</t>
  </si>
  <si>
    <t xml:space="preserve">Bering River </t>
  </si>
  <si>
    <t>Little Susitna River</t>
  </si>
  <si>
    <t>Jim Creek</t>
  </si>
  <si>
    <t xml:space="preserve"> n/a </t>
  </si>
  <si>
    <t>Tsiu/Tsivat Rivers</t>
  </si>
  <si>
    <t>Chilkat River</t>
  </si>
  <si>
    <t>Berners River</t>
  </si>
  <si>
    <t>Ford Arm Lake</t>
  </si>
  <si>
    <t>Sitka Survey Index</t>
  </si>
  <si>
    <t>Ketchikan Survey Index</t>
  </si>
  <si>
    <t>Peterson Creek</t>
  </si>
  <si>
    <t>Montana Creek</t>
  </si>
  <si>
    <t>Auke Creek</t>
  </si>
  <si>
    <t>Klawock River</t>
  </si>
  <si>
    <t>Kodiak Archipelago Aggregate</t>
  </si>
  <si>
    <t>chum</t>
  </si>
  <si>
    <t>Mainland District</t>
  </si>
  <si>
    <t>CCC</t>
  </si>
  <si>
    <t>Unalakleet/Old Woman River</t>
  </si>
  <si>
    <t>Tubutulik River</t>
  </si>
  <si>
    <t xml:space="preserve">   Eldorado River</t>
  </si>
  <si>
    <t xml:space="preserve">   Snake River</t>
  </si>
  <si>
    <t xml:space="preserve">   Nome River</t>
  </si>
  <si>
    <t>Subdistrict 1 Aggregate</t>
  </si>
  <si>
    <t>Yukon R. Mainstem (Canada) Fall</t>
  </si>
  <si>
    <t>Fishing Branch River (Canada) Fall</t>
  </si>
  <si>
    <t>Sheenjek River Fall</t>
  </si>
  <si>
    <t>Chandalar River Fall</t>
  </si>
  <si>
    <t>Upper Yukon River Tributaries Fall</t>
  </si>
  <si>
    <t>Delta River Fall</t>
  </si>
  <si>
    <t>Tanana River Fall</t>
  </si>
  <si>
    <t>Yukon River Drainage Fall</t>
  </si>
  <si>
    <t>Anvik River Summer</t>
  </si>
  <si>
    <t>East Fork Andreafsky River Summer</t>
  </si>
  <si>
    <t>Aniak River</t>
  </si>
  <si>
    <t>Iniskin Bay</t>
  </si>
  <si>
    <t>Cottonwood Creek</t>
  </si>
  <si>
    <t>Ursus Cove</t>
  </si>
  <si>
    <t>McNeil River</t>
  </si>
  <si>
    <t>Little Kamishak River</t>
  </si>
  <si>
    <t>Big Kamishak River</t>
  </si>
  <si>
    <t>Dogfish Lagoon</t>
  </si>
  <si>
    <t>Clearwater Creek</t>
  </si>
  <si>
    <t>Chilkat River Fall</t>
  </si>
  <si>
    <t>Excursion River Fall</t>
  </si>
  <si>
    <t>Security Bay Fall</t>
  </si>
  <si>
    <t>Port Camden Fall</t>
  </si>
  <si>
    <t>Cholmondeley Sound Fall</t>
  </si>
  <si>
    <t>Northern Southeast Outside Summer</t>
  </si>
  <si>
    <t>Northern Southeast Inside Summer</t>
  </si>
  <si>
    <t>Southern Southeast Summer</t>
  </si>
  <si>
    <t>Ayakulik River</t>
  </si>
  <si>
    <t xml:space="preserve">Chinook </t>
  </si>
  <si>
    <t>Karluk River</t>
  </si>
  <si>
    <t>Chignik River</t>
  </si>
  <si>
    <t>North River (Unalakleet R)</t>
  </si>
  <si>
    <t>Fish River/Boston Creek</t>
  </si>
  <si>
    <t>Canada Mainstem</t>
  </si>
  <si>
    <t>Salcha River</t>
  </si>
  <si>
    <t>Chena River</t>
  </si>
  <si>
    <t>Nulato River (forks combined)</t>
  </si>
  <si>
    <t>Anvik River</t>
  </si>
  <si>
    <t>West Fork Andreafsky River</t>
  </si>
  <si>
    <t>East Fork Andreafsky River</t>
  </si>
  <si>
    <t>Salmon River (Pitka Fork)</t>
  </si>
  <si>
    <t>Gagaryah River (Stony R)</t>
  </si>
  <si>
    <t>Cheeneetnuk River (Stony R)</t>
  </si>
  <si>
    <t>Holitna River</t>
  </si>
  <si>
    <t>Salmon River (Aniak R)</t>
  </si>
  <si>
    <t>Kisaralik River</t>
  </si>
  <si>
    <t>George River</t>
  </si>
  <si>
    <t>Kuskokwim River (entire area)</t>
  </si>
  <si>
    <t>Ninilchik River</t>
  </si>
  <si>
    <t>Deep Creek</t>
  </si>
  <si>
    <t>Anchor River</t>
  </si>
  <si>
    <t>Willow Creek</t>
  </si>
  <si>
    <t>Theodore River</t>
  </si>
  <si>
    <t>Talachulitna River</t>
  </si>
  <si>
    <t>Sheep Creek</t>
  </si>
  <si>
    <t>Prairie Creek</t>
  </si>
  <si>
    <t>Peters Creek</t>
  </si>
  <si>
    <t>Little Willow Creek</t>
  </si>
  <si>
    <t>Lewis River</t>
  </si>
  <si>
    <t>Lake Creek</t>
  </si>
  <si>
    <t>Kenai River - Late Run</t>
  </si>
  <si>
    <t>Kenai River - Early Run</t>
  </si>
  <si>
    <t>Goose Creek</t>
  </si>
  <si>
    <t>Deshka River</t>
  </si>
  <si>
    <t>Crooked Creek</t>
  </si>
  <si>
    <t>Clear (Chunilna) Creek</t>
  </si>
  <si>
    <t>Chulitna River</t>
  </si>
  <si>
    <t>Chuitna River</t>
  </si>
  <si>
    <t>Campbell Creek</t>
  </si>
  <si>
    <t>Alexander Creek</t>
  </si>
  <si>
    <t>Alsek River</t>
  </si>
  <si>
    <t>Klukshu (Alsek) River</t>
  </si>
  <si>
    <t>King Salmon River</t>
  </si>
  <si>
    <t>Stikine River</t>
  </si>
  <si>
    <t>Andrew Creek</t>
  </si>
  <si>
    <t>Chickamin River</t>
  </si>
  <si>
    <t>Unuk River</t>
  </si>
  <si>
    <t>Keta River</t>
  </si>
  <si>
    <t>Blossom River</t>
  </si>
  <si>
    <t>PWKE</t>
  </si>
  <si>
    <t>W. Kamchatka</t>
  </si>
  <si>
    <t>PNESO</t>
  </si>
  <si>
    <t>NE Sakhalin</t>
  </si>
  <si>
    <t>Sakhalin</t>
  </si>
  <si>
    <t>PTO</t>
  </si>
  <si>
    <t>Terpeniya Bay</t>
  </si>
  <si>
    <t>PEKO</t>
  </si>
  <si>
    <t>E. Kamchatka</t>
  </si>
  <si>
    <t>SO</t>
  </si>
  <si>
    <t>Ozernaya</t>
  </si>
  <si>
    <t>PSESE</t>
  </si>
  <si>
    <t>SE Sakhalin</t>
  </si>
  <si>
    <t>PIE</t>
  </si>
  <si>
    <t>Iturup</t>
  </si>
  <si>
    <t>CHA</t>
  </si>
  <si>
    <t>Amur</t>
  </si>
  <si>
    <t>PSESO</t>
  </si>
  <si>
    <t>CEK</t>
  </si>
  <si>
    <t>PTE</t>
  </si>
  <si>
    <t>CS</t>
  </si>
  <si>
    <t>Sakhalin coast</t>
  </si>
  <si>
    <t>PEKE</t>
  </si>
  <si>
    <t>PIO</t>
  </si>
  <si>
    <t>CWK</t>
  </si>
  <si>
    <t>SK</t>
  </si>
  <si>
    <t>Kamchatka Riv</t>
  </si>
  <si>
    <t>PNESE</t>
  </si>
  <si>
    <t>PAE</t>
  </si>
  <si>
    <t>Aniva Bay</t>
  </si>
  <si>
    <t>Continental Coast</t>
  </si>
  <si>
    <t>COWK</t>
  </si>
  <si>
    <t>CI</t>
  </si>
  <si>
    <t>COEK</t>
  </si>
  <si>
    <t>PWKO</t>
  </si>
  <si>
    <t>PAO</t>
  </si>
  <si>
    <t>SB</t>
  </si>
  <si>
    <t>Bolshaya Riv</t>
  </si>
  <si>
    <t>COB</t>
  </si>
  <si>
    <t>CHEK</t>
  </si>
  <si>
    <t>SM</t>
  </si>
  <si>
    <t>Meynypil'gyn</t>
  </si>
  <si>
    <t>Chukotka</t>
  </si>
  <si>
    <t>CHWK</t>
  </si>
  <si>
    <t>CHB</t>
  </si>
  <si>
    <t>CWW</t>
  </si>
  <si>
    <t>Washington</t>
  </si>
  <si>
    <t>PNW USA</t>
  </si>
  <si>
    <t>CWHCF</t>
  </si>
  <si>
    <t>CWSPF</t>
  </si>
  <si>
    <t>CWSSF</t>
  </si>
  <si>
    <t>CWSF</t>
  </si>
  <si>
    <t>CWNSF</t>
  </si>
  <si>
    <t>CWJFF</t>
  </si>
  <si>
    <t>CWGHF</t>
  </si>
  <si>
    <t>CWWBF</t>
  </si>
  <si>
    <t>CWSPS</t>
  </si>
  <si>
    <t>CWHCS</t>
  </si>
  <si>
    <t>CWJFS</t>
  </si>
  <si>
    <t>COOUC</t>
  </si>
  <si>
    <t>Oregon</t>
  </si>
  <si>
    <t>COOLC</t>
  </si>
  <si>
    <t>COOSC</t>
  </si>
  <si>
    <t>COOSCC</t>
  </si>
  <si>
    <t>COONCC</t>
  </si>
  <si>
    <t>COONC</t>
  </si>
  <si>
    <t>COWSN</t>
  </si>
  <si>
    <t>COWST</t>
  </si>
  <si>
    <t>COWSK</t>
  </si>
  <si>
    <t>COWHC</t>
  </si>
  <si>
    <t>COWJF</t>
  </si>
  <si>
    <t>COWQF</t>
  </si>
  <si>
    <t>COWH</t>
  </si>
  <si>
    <t>COWQ</t>
  </si>
  <si>
    <t>COWGH</t>
  </si>
  <si>
    <t>COWWB</t>
  </si>
  <si>
    <t>CSCNC</t>
  </si>
  <si>
    <t>California</t>
  </si>
  <si>
    <t>CHCSJW</t>
  </si>
  <si>
    <t>CHCSJS</t>
  </si>
  <si>
    <t>CHCSLF</t>
  </si>
  <si>
    <t>CHCSJF</t>
  </si>
  <si>
    <t>CHCSF</t>
  </si>
  <si>
    <t>CHOK</t>
  </si>
  <si>
    <t>CHOC</t>
  </si>
  <si>
    <t>CHOU</t>
  </si>
  <si>
    <t>CHOS</t>
  </si>
  <si>
    <t>Siuslaw River</t>
  </si>
  <si>
    <t>CHON</t>
  </si>
  <si>
    <t>Nehalem River</t>
  </si>
  <si>
    <t>CHOCUF</t>
  </si>
  <si>
    <t>Columbia River Upriver Bright Fall</t>
  </si>
  <si>
    <t>CHODF</t>
  </si>
  <si>
    <t>Deschutes River Fall</t>
  </si>
  <si>
    <t>CHOLF</t>
  </si>
  <si>
    <t>Lewis River Fall</t>
  </si>
  <si>
    <t>CHOCUS</t>
  </si>
  <si>
    <t>Columbia River Upriver Summers</t>
  </si>
  <si>
    <t>CHIS</t>
  </si>
  <si>
    <t>Snake River Spring/Summer</t>
  </si>
  <si>
    <t>Idaho</t>
  </si>
  <si>
    <t>CHOUCS</t>
  </si>
  <si>
    <t>Upper Columbia River Springs</t>
  </si>
  <si>
    <t>CHWGHF</t>
  </si>
  <si>
    <r>
      <t xml:space="preserve">Gray's Harbor </t>
    </r>
    <r>
      <rPr>
        <sz val="10"/>
        <color theme="1"/>
        <rFont val="Arial"/>
        <family val="2"/>
      </rPr>
      <t>Fall</t>
    </r>
  </si>
  <si>
    <t>CHWGHS</t>
  </si>
  <si>
    <t>Gray's Harbor Spring</t>
  </si>
  <si>
    <t>CHWHF</t>
  </si>
  <si>
    <t>Hoh Fall</t>
  </si>
  <si>
    <t>CHWHS</t>
  </si>
  <si>
    <t>Hoh Spring/Summer</t>
  </si>
  <si>
    <t>CHWQF</t>
  </si>
  <si>
    <r>
      <t xml:space="preserve">Quillayute </t>
    </r>
    <r>
      <rPr>
        <sz val="10"/>
        <color theme="1"/>
        <rFont val="Arial"/>
        <family val="2"/>
      </rPr>
      <t>Fall</t>
    </r>
  </si>
  <si>
    <t>CHWQS</t>
  </si>
  <si>
    <t xml:space="preserve">Quillayute Summer </t>
  </si>
  <si>
    <t>CHWLW</t>
  </si>
  <si>
    <t>Lake Washington Fall</t>
  </si>
  <si>
    <t>CHWGR</t>
  </si>
  <si>
    <t>Green River</t>
  </si>
  <si>
    <t>CHWSN</t>
  </si>
  <si>
    <t>Snohomish</t>
  </si>
  <si>
    <t>Queets Spring/Summer</t>
  </si>
  <si>
    <t>Queets Fall</t>
  </si>
  <si>
    <t>CHWH</t>
  </si>
  <si>
    <r>
      <t>Hoko</t>
    </r>
    <r>
      <rPr>
        <sz val="10"/>
        <color theme="1"/>
        <rFont val="Arial"/>
        <family val="2"/>
      </rPr>
      <t xml:space="preserve"> Summer/Fall</t>
    </r>
  </si>
  <si>
    <t>CHWS</t>
  </si>
  <si>
    <t>Stillaguamish</t>
  </si>
  <si>
    <t>CHWSSU</t>
  </si>
  <si>
    <t>Skagit Summer</t>
  </si>
  <si>
    <t>CHWSS</t>
  </si>
  <si>
    <t>Skagit Spring</t>
  </si>
  <si>
    <t>CHNSF</t>
  </si>
  <si>
    <t>Nooksack North Fork Wild Spring Fingerling</t>
  </si>
  <si>
    <t>CO15</t>
  </si>
  <si>
    <t>Areas 1-5 (Coho)</t>
  </si>
  <si>
    <t>NCCQCI</t>
  </si>
  <si>
    <t>CHF03</t>
  </si>
  <si>
    <t>Fraser Summer 0.3</t>
  </si>
  <si>
    <t>Fraser</t>
  </si>
  <si>
    <t>CHF13</t>
  </si>
  <si>
    <t>Fraser Spring 1.3</t>
  </si>
  <si>
    <t>CHF12</t>
  </si>
  <si>
    <t>Fraser Spring 1.2</t>
  </si>
  <si>
    <t>CHH</t>
  </si>
  <si>
    <t>Harrison</t>
  </si>
  <si>
    <t>CHLGS</t>
  </si>
  <si>
    <t>Lower Georgia Strait</t>
  </si>
  <si>
    <t>Inner South Coast</t>
  </si>
  <si>
    <t>CHWCV</t>
  </si>
  <si>
    <t>WCVI</t>
  </si>
  <si>
    <t>West Coast Vancouver Island</t>
  </si>
  <si>
    <t>P8O</t>
  </si>
  <si>
    <t>Area 8</t>
  </si>
  <si>
    <t>Central Coast</t>
  </si>
  <si>
    <t>P6O</t>
  </si>
  <si>
    <t>Area 6</t>
  </si>
  <si>
    <t>P3O</t>
  </si>
  <si>
    <t>Area 3</t>
  </si>
  <si>
    <t>C8</t>
  </si>
  <si>
    <t>P3E</t>
  </si>
  <si>
    <t>C7</t>
  </si>
  <si>
    <t>Area 7</t>
  </si>
  <si>
    <t>SNM</t>
  </si>
  <si>
    <t>Meziadin</t>
  </si>
  <si>
    <t>Nass</t>
  </si>
  <si>
    <t>P2EE</t>
  </si>
  <si>
    <t>Area 2E</t>
  </si>
  <si>
    <t>P7E</t>
  </si>
  <si>
    <t>P8E</t>
  </si>
  <si>
    <t>C3</t>
  </si>
  <si>
    <t>P1E</t>
  </si>
  <si>
    <t>Area 1</t>
  </si>
  <si>
    <t>PFO</t>
  </si>
  <si>
    <t>Fraser River</t>
  </si>
  <si>
    <t>P7O</t>
  </si>
  <si>
    <t>P4E</t>
  </si>
  <si>
    <t>Area 4</t>
  </si>
  <si>
    <t>P2WE</t>
  </si>
  <si>
    <t>Area 2W</t>
  </si>
  <si>
    <t>CBI</t>
  </si>
  <si>
    <t>Burrard Inlet</t>
  </si>
  <si>
    <t>CHSSC</t>
  </si>
  <si>
    <t>Howe Sound / Sunshine Coast</t>
  </si>
  <si>
    <t>CJI</t>
  </si>
  <si>
    <t>Jervis Inlet</t>
  </si>
  <si>
    <t>CTI</t>
  </si>
  <si>
    <t>Toba Inlet</t>
  </si>
  <si>
    <t>CLB</t>
  </si>
  <si>
    <t>Loughborough to Bute</t>
  </si>
  <si>
    <t>CBK</t>
  </si>
  <si>
    <t>Bond to Knight</t>
  </si>
  <si>
    <t>CKI</t>
  </si>
  <si>
    <t>Kingcome Inlet</t>
  </si>
  <si>
    <t>CMVI</t>
  </si>
  <si>
    <t>Mid Vancouver Island</t>
  </si>
  <si>
    <t>CJS</t>
  </si>
  <si>
    <t>Johnstone Strait</t>
  </si>
  <si>
    <t>CUVI</t>
  </si>
  <si>
    <t>Upper Vancouver Island</t>
  </si>
  <si>
    <t>P5O</t>
  </si>
  <si>
    <t>Area 5</t>
  </si>
  <si>
    <t>PLBE</t>
  </si>
  <si>
    <t>PBKE</t>
  </si>
  <si>
    <t>PKIE</t>
  </si>
  <si>
    <t>PMVIE</t>
  </si>
  <si>
    <t>PJSE</t>
  </si>
  <si>
    <t>PUVIE</t>
  </si>
  <si>
    <t>P4O</t>
  </si>
  <si>
    <t>P6E</t>
  </si>
  <si>
    <t>C1</t>
  </si>
  <si>
    <t>SS</t>
  </si>
  <si>
    <t>Skeena</t>
  </si>
  <si>
    <t>C4</t>
  </si>
  <si>
    <t>P5E</t>
  </si>
  <si>
    <t>C5</t>
  </si>
  <si>
    <t>PJIO</t>
  </si>
  <si>
    <t>PTIO</t>
  </si>
  <si>
    <t>PLBO</t>
  </si>
  <si>
    <t>PBKO</t>
  </si>
  <si>
    <t>PKIO</t>
  </si>
  <si>
    <t>PMVIO</t>
  </si>
  <si>
    <t>PJSO</t>
  </si>
  <si>
    <t>PUVIO</t>
  </si>
  <si>
    <t>SBSH</t>
  </si>
  <si>
    <t>Henderson</t>
  </si>
  <si>
    <t>Barkley Sound</t>
  </si>
  <si>
    <t>SBSS</t>
  </si>
  <si>
    <t>Somass</t>
  </si>
  <si>
    <t>SFLR</t>
  </si>
  <si>
    <t>Late Run (inc. Birkenhead)</t>
  </si>
  <si>
    <t>SFSR</t>
  </si>
  <si>
    <t>Summer Run</t>
  </si>
  <si>
    <t>SFES</t>
  </si>
  <si>
    <t>Early Summer</t>
  </si>
  <si>
    <t>Early Stuart</t>
  </si>
  <si>
    <t>C26</t>
  </si>
  <si>
    <t>Area 26</t>
  </si>
  <si>
    <t>C25</t>
  </si>
  <si>
    <t>Area 25</t>
  </si>
  <si>
    <t>C24</t>
  </si>
  <si>
    <t>Area 24</t>
  </si>
  <si>
    <t>C23</t>
  </si>
  <si>
    <t>Area 23</t>
  </si>
  <si>
    <t>C2122</t>
  </si>
  <si>
    <t>Area 21-22</t>
  </si>
  <si>
    <t>CF</t>
  </si>
  <si>
    <t>C10</t>
  </si>
  <si>
    <t>Area 10</t>
  </si>
  <si>
    <t>C9</t>
  </si>
  <si>
    <t>Area 9</t>
  </si>
  <si>
    <t>C6</t>
  </si>
  <si>
    <t>C2WE</t>
  </si>
  <si>
    <t>C2E</t>
  </si>
  <si>
    <t>P10O</t>
  </si>
  <si>
    <t>P9O</t>
  </si>
  <si>
    <t>P10E</t>
  </si>
  <si>
    <t>P9E</t>
  </si>
  <si>
    <t>Harvest in 2013 ('000 tons)</t>
  </si>
  <si>
    <t>Harvest: Avg Annual Change in 15 Years (12 for pink salmon)</t>
  </si>
  <si>
    <t>Escapement: Avg Annual Change in 15 Years (12 for pink salmon)</t>
  </si>
  <si>
    <t>Acronym</t>
  </si>
  <si>
    <t>Year-class</t>
  </si>
  <si>
    <t>Stock</t>
  </si>
  <si>
    <t>Species</t>
  </si>
  <si>
    <t>District</t>
  </si>
  <si>
    <t>Region</t>
  </si>
  <si>
    <t>SU</t>
  </si>
  <si>
    <t>SC</t>
  </si>
  <si>
    <t>SA</t>
  </si>
  <si>
    <t>ST</t>
  </si>
  <si>
    <t>SCH</t>
  </si>
  <si>
    <t>SAL</t>
  </si>
  <si>
    <t>SSI</t>
  </si>
  <si>
    <t>BBN</t>
  </si>
  <si>
    <t>UCA</t>
  </si>
  <si>
    <t>UCCA</t>
  </si>
  <si>
    <t>UCCH</t>
  </si>
  <si>
    <t>UCCL</t>
  </si>
  <si>
    <t>UCCR</t>
  </si>
  <si>
    <t>UCD</t>
  </si>
  <si>
    <t>UCG</t>
  </si>
  <si>
    <t>UCKE</t>
  </si>
  <si>
    <t>UCKL</t>
  </si>
  <si>
    <t>UCLA</t>
  </si>
  <si>
    <t>UCLE</t>
  </si>
  <si>
    <t>UCLS</t>
  </si>
  <si>
    <t>UCLW</t>
  </si>
  <si>
    <t>UCM</t>
  </si>
  <si>
    <t>UCPE</t>
  </si>
  <si>
    <t>UCPR</t>
  </si>
  <si>
    <t>UCS</t>
  </si>
  <si>
    <t>UCTA</t>
  </si>
  <si>
    <t>UCTH</t>
  </si>
  <si>
    <t>UCW</t>
  </si>
  <si>
    <t>LCA</t>
  </si>
  <si>
    <t>LCD</t>
  </si>
  <si>
    <t>LCN</t>
  </si>
  <si>
    <t>COP</t>
  </si>
  <si>
    <t>KNFG</t>
  </si>
  <si>
    <t>KMFG</t>
  </si>
  <si>
    <t>KKA</t>
  </si>
  <si>
    <t>KKU</t>
  </si>
  <si>
    <t>KKO</t>
  </si>
  <si>
    <t>KKW</t>
  </si>
  <si>
    <t>KGE</t>
  </si>
  <si>
    <t>KKI</t>
  </si>
  <si>
    <t>KA</t>
  </si>
  <si>
    <t>KSA</t>
  </si>
  <si>
    <t>KH</t>
  </si>
  <si>
    <t>KC</t>
  </si>
  <si>
    <t>KGA</t>
  </si>
  <si>
    <t>KSP</t>
  </si>
  <si>
    <t>YEFA</t>
  </si>
  <si>
    <t>YWFA</t>
  </si>
  <si>
    <t>Y</t>
  </si>
  <si>
    <t>YN</t>
  </si>
  <si>
    <t>YC</t>
  </si>
  <si>
    <t>YS</t>
  </si>
  <si>
    <t>YCM</t>
  </si>
  <si>
    <t>NF</t>
  </si>
  <si>
    <t>NK</t>
  </si>
  <si>
    <t>NNO</t>
  </si>
  <si>
    <t>NU</t>
  </si>
  <si>
    <t>APN</t>
  </si>
  <si>
    <t>CHI</t>
  </si>
  <si>
    <t>KK</t>
  </si>
  <si>
    <t>SSSS</t>
  </si>
  <si>
    <t>SNSIS</t>
  </si>
  <si>
    <t>SNSOS</t>
  </si>
  <si>
    <t>SCSF</t>
  </si>
  <si>
    <t>SPCF</t>
  </si>
  <si>
    <t>SSBF</t>
  </si>
  <si>
    <t>SERF</t>
  </si>
  <si>
    <t>SCRF</t>
  </si>
  <si>
    <t>BN</t>
  </si>
  <si>
    <t>UCC</t>
  </si>
  <si>
    <t>UCPG</t>
  </si>
  <si>
    <t>LCDL</t>
  </si>
  <si>
    <t>LCR</t>
  </si>
  <si>
    <t>LCPD</t>
  </si>
  <si>
    <t>LCI</t>
  </si>
  <si>
    <t>LCBK</t>
  </si>
  <si>
    <t>LCLK</t>
  </si>
  <si>
    <t>LCM</t>
  </si>
  <si>
    <t>LCB</t>
  </si>
  <si>
    <t>LCUC</t>
  </si>
  <si>
    <t>LCC</t>
  </si>
  <si>
    <t>LCIB</t>
  </si>
  <si>
    <t>PWSE</t>
  </si>
  <si>
    <t>PWSN</t>
  </si>
  <si>
    <t>PWSC</t>
  </si>
  <si>
    <t>PWSS</t>
  </si>
  <si>
    <t>YAS</t>
  </si>
  <si>
    <t>YYDF</t>
  </si>
  <si>
    <t>YTF</t>
  </si>
  <si>
    <t>YDF</t>
  </si>
  <si>
    <t>YUYF</t>
  </si>
  <si>
    <t>YCF</t>
  </si>
  <si>
    <t>YSF</t>
  </si>
  <si>
    <t>YFBF</t>
  </si>
  <si>
    <t>YYMF</t>
  </si>
  <si>
    <t>NS1</t>
  </si>
  <si>
    <t>NSNO</t>
  </si>
  <si>
    <t>NSS</t>
  </si>
  <si>
    <t>NSE</t>
  </si>
  <si>
    <t>NSNI</t>
  </si>
  <si>
    <t>NSK</t>
  </si>
  <si>
    <t>NST</t>
  </si>
  <si>
    <t>NSU</t>
  </si>
  <si>
    <t>KM</t>
  </si>
  <si>
    <t>SHS</t>
  </si>
  <si>
    <t>SP</t>
  </si>
  <si>
    <t>SSS</t>
  </si>
  <si>
    <t>SFA</t>
  </si>
  <si>
    <t>SL</t>
  </si>
  <si>
    <t>STT</t>
  </si>
  <si>
    <t>UCF</t>
  </si>
  <si>
    <t>UCJ</t>
  </si>
  <si>
    <t>CB</t>
  </si>
  <si>
    <t>NN</t>
  </si>
  <si>
    <t>NNR</t>
  </si>
  <si>
    <t>API</t>
  </si>
  <si>
    <t>KP</t>
  </si>
  <si>
    <t>KB</t>
  </si>
  <si>
    <t>KO</t>
  </si>
  <si>
    <t>O</t>
  </si>
  <si>
    <t>SNSI</t>
  </si>
  <si>
    <t>SNSO</t>
  </si>
  <si>
    <t>LCH</t>
  </si>
  <si>
    <t>LCCP</t>
  </si>
  <si>
    <t>LCT</t>
  </si>
  <si>
    <t>LCBA</t>
  </si>
  <si>
    <t>LCSE</t>
  </si>
  <si>
    <t>LCPG</t>
  </si>
  <si>
    <t>LCPC</t>
  </si>
  <si>
    <t>LCWCR</t>
  </si>
  <si>
    <t>LCWCL</t>
  </si>
  <si>
    <t>LCSNI</t>
  </si>
  <si>
    <t>LCBR</t>
  </si>
  <si>
    <t>LCSU</t>
  </si>
  <si>
    <t>LCBP</t>
  </si>
  <si>
    <t>PWSCE</t>
  </si>
  <si>
    <t>PWEAE</t>
  </si>
  <si>
    <t>PWESE</t>
  </si>
  <si>
    <t>PWME</t>
  </si>
  <si>
    <t>PWNE</t>
  </si>
  <si>
    <t>PWNWE</t>
  </si>
  <si>
    <t>PWSEE</t>
  </si>
  <si>
    <t>PWSWE</t>
  </si>
  <si>
    <t>PWSCO</t>
  </si>
  <si>
    <t>PWEAO</t>
  </si>
  <si>
    <t>PWESO</t>
  </si>
  <si>
    <t>PWMO</t>
  </si>
  <si>
    <t>PWNO</t>
  </si>
  <si>
    <t>PWNWO</t>
  </si>
  <si>
    <t>PWSEO</t>
  </si>
  <si>
    <t>PWSWO</t>
  </si>
  <si>
    <t>APSPE</t>
  </si>
  <si>
    <t>APSPO</t>
  </si>
  <si>
    <t>CCE</t>
  </si>
  <si>
    <t>CCO</t>
  </si>
  <si>
    <t>KMD</t>
  </si>
  <si>
    <t>KAE</t>
  </si>
  <si>
    <t>KAO</t>
  </si>
  <si>
    <t>SML</t>
  </si>
  <si>
    <t>SMS</t>
  </si>
  <si>
    <t>STL</t>
  </si>
  <si>
    <t>SSL</t>
  </si>
  <si>
    <t>STR</t>
  </si>
  <si>
    <t>SRL</t>
  </si>
  <si>
    <t>SCKAT</t>
  </si>
  <si>
    <t>SCKOT</t>
  </si>
  <si>
    <t>SEADR</t>
  </si>
  <si>
    <t>SKR</t>
  </si>
  <si>
    <t>SLR</t>
  </si>
  <si>
    <t>SSR</t>
  </si>
  <si>
    <t>BK</t>
  </si>
  <si>
    <t>BA</t>
  </si>
  <si>
    <t>BE</t>
  </si>
  <si>
    <t>BU</t>
  </si>
  <si>
    <t>BW</t>
  </si>
  <si>
    <t>BI</t>
  </si>
  <si>
    <t>BT</t>
  </si>
  <si>
    <t>UCKA</t>
  </si>
  <si>
    <t>UCP</t>
  </si>
  <si>
    <t>UCRE</t>
  </si>
  <si>
    <t>UCRL</t>
  </si>
  <si>
    <t>UCL</t>
  </si>
  <si>
    <t>LCE</t>
  </si>
  <si>
    <t>LCDS</t>
  </si>
  <si>
    <t>LCAL</t>
  </si>
  <si>
    <t>LCAM</t>
  </si>
  <si>
    <t>CUC</t>
  </si>
  <si>
    <t>CCR</t>
  </si>
  <si>
    <t>PWC</t>
  </si>
  <si>
    <t>PWE</t>
  </si>
  <si>
    <t>CE</t>
  </si>
  <si>
    <t>CL</t>
  </si>
  <si>
    <t>KKE</t>
  </si>
  <si>
    <t>KKL</t>
  </si>
  <si>
    <t>KAYE</t>
  </si>
  <si>
    <t>KAYL</t>
  </si>
  <si>
    <t>KUSE</t>
  </si>
  <si>
    <t>KUSL</t>
  </si>
  <si>
    <t>KF</t>
  </si>
  <si>
    <t xml:space="preserve">This datset was used to prepare Figures 5–12, an analysis of harvest and escapement trends for 421 Pacific salmon stocks from around the North Pacific. The analysis is preliminary in nature. </t>
  </si>
  <si>
    <t xml:space="preserve">Escapement and harvest data were gathered primarily from annual management reports (thank you to Andrew Munro for providing a spreadsheet of Alaskan escapements). Trend statistics were </t>
  </si>
  <si>
    <t>the most recent 15 years for which data is available were used in calculating trends. For pink salmon with distinct even/odd-year dynamics, trends were calculated for twelve returns of a particular</t>
  </si>
  <si>
    <t>: data set does not include 2013 data</t>
  </si>
  <si>
    <t>COLOR-CODING LEGEND</t>
  </si>
  <si>
    <t>calculated using a robust regression method described by Geiger and Zhang (2002), and represent annual rates of change expressed as percents of year zero. For all species except pink salmon,</t>
  </si>
  <si>
    <t>broodline, or a 24-year series. Some neighboring stocks share identical harvest trends because harvest statistics were only available for a mixed-stock aggregate rather than for individual stocks.</t>
  </si>
  <si>
    <t xml:space="preserve">2013 harvest magnitudes were used to scale stock font size in the figures to give an idea of relative scale among stocks. Some Alaskan stocks in Kotzebue, Chignik, the AK Peninsula region, </t>
  </si>
  <si>
    <t>Norton Sound, and Kodiak were not analyzed due to lack of time, and will be added to the dataset at a later date.</t>
  </si>
  <si>
    <t>Umpqua South Fork</t>
  </si>
  <si>
    <t>Coquille River</t>
  </si>
  <si>
    <t>Klamath River Fall</t>
  </si>
  <si>
    <t>Sacramento River Fall</t>
  </si>
  <si>
    <t>San Joaquin River Fall</t>
  </si>
  <si>
    <t>Sacramento River Late Fall</t>
  </si>
  <si>
    <t>Sacramento &amp; San Joaquin Spring</t>
  </si>
  <si>
    <t>Sacramento and San Joaquin Winter</t>
  </si>
  <si>
    <t>California North Coast</t>
  </si>
  <si>
    <t>Willapa Bay</t>
  </si>
  <si>
    <t>Grays Harbor</t>
  </si>
  <si>
    <t>Queets</t>
  </si>
  <si>
    <t>Hoh</t>
  </si>
  <si>
    <t>Quillayute Fall</t>
  </si>
  <si>
    <t>Juan de Fuca</t>
  </si>
  <si>
    <t>Hood Canal</t>
  </si>
  <si>
    <t>Skagit</t>
  </si>
  <si>
    <t>Northern Oregon Coast</t>
  </si>
  <si>
    <t>North Central Oregon Coast</t>
  </si>
  <si>
    <t>South Central Oregon Coast</t>
  </si>
  <si>
    <t>Southern Oregon Coast</t>
  </si>
  <si>
    <t>Lower Columbia</t>
  </si>
  <si>
    <t>Upper Columbia (Area 6)</t>
  </si>
  <si>
    <t>Strait of Juan de Fuca Summer (chum)</t>
  </si>
  <si>
    <t xml:space="preserve">Hood Canal Summer </t>
  </si>
  <si>
    <t>South Puget Sound Summer</t>
  </si>
  <si>
    <t>Willapa Bay Fall (chum)</t>
  </si>
  <si>
    <t>Grays Harbor Fall</t>
  </si>
  <si>
    <t>Strait of Juan de Fuca Fall</t>
  </si>
  <si>
    <t>Nooksack/Samish Fall</t>
  </si>
  <si>
    <t>Skagit Fall</t>
  </si>
  <si>
    <t>Stillaguamish/Snohomish Fall</t>
  </si>
  <si>
    <t>South Puget Sound Fall</t>
  </si>
  <si>
    <t>Hood Canal Fall</t>
  </si>
  <si>
    <t>Washington winter</t>
  </si>
  <si>
    <t>: data is not yet available or cannot be used</t>
  </si>
  <si>
    <t>YD</t>
  </si>
  <si>
    <t>: trends are calculated using less than 15 years (or less than 12 for pink salmon)</t>
  </si>
  <si>
    <t>7297040c-e0af-11e0-829e-40406781a598</t>
  </si>
  <si>
    <t>e7a23664-92b0-11e1-a18e-40406781a598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</si>
</sst>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_(* #,##0_);_(* \(#,##0\);_(* &quot;-&quot;??_);_(@_)"/>
    <numFmt numFmtId="166" formatCode="0.0"/>
    <numFmt numFmtId="167" formatCode="_(* #,##0.0000_);_(* \(#,##0.0000\);_(* &quot;-&quot;??_);_(@_)"/>
    <numFmt numFmtId="168" formatCode="_(* #,##0.000_);_(* \(#,##0.000\);_(* &quot;-&quot;??_);_(@_)"/>
    <numFmt numFmtId="169" formatCode="0.000"/>
    <numFmt numFmtId="170" formatCode="0.000%"/>
    <numFmt numFmtId="171" formatCode="_(* #,##0.00000_);_(* \(#,##0.00000\);_(* &quot;-&quot;??_);_(@_)"/>
    <numFmt numFmtId="172" formatCode="_(* #,##0.000000_);_(* \(#,##0.000000\);_(* &quot;-&quot;??_);_(@_)"/>
  </numFmts>
  <fonts count="47"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b/>
      <sz val="12"/>
      <color rgb="FFFF0000"/>
      <name val="Calibri"/>
      <scheme val="minor"/>
    </font>
    <font>
      <u/>
      <sz val="12"/>
      <color theme="10"/>
      <name val="Calibri"/>
      <family val="2"/>
      <scheme val="minor"/>
    </font>
    <font>
      <u/>
      <sz val="12"/>
      <color theme="11"/>
      <name val="Calibri"/>
      <family val="2"/>
      <scheme val="minor"/>
    </font>
    <font>
      <sz val="12"/>
      <name val="Calibri"/>
      <scheme val="minor"/>
    </font>
    <font>
      <sz val="10"/>
      <name val="Arial"/>
      <family val="2"/>
    </font>
    <font>
      <b/>
      <sz val="12"/>
      <color theme="1"/>
      <name val="Calibri"/>
    </font>
    <font>
      <b/>
      <sz val="12"/>
      <name val="Calibri"/>
      <scheme val="minor"/>
    </font>
    <font>
      <sz val="11"/>
      <color theme="1"/>
      <name val="Calibri"/>
      <family val="2"/>
      <scheme val="minor"/>
    </font>
    <font>
      <b/>
      <u/>
      <sz val="12"/>
      <color theme="10"/>
      <name val="Calibri"/>
      <scheme val="minor"/>
    </font>
    <font>
      <sz val="11"/>
      <name val="arial"/>
      <family val="2"/>
    </font>
    <font>
      <sz val="12"/>
      <color rgb="FF000000"/>
      <name val="Calibri"/>
      <family val="2"/>
      <scheme val="minor"/>
    </font>
    <font>
      <u/>
      <sz val="12"/>
      <color rgb="FF0000FF"/>
      <name val="Calibri"/>
      <scheme val="minor"/>
    </font>
    <font>
      <sz val="12"/>
      <color theme="1"/>
      <name val="Calibri"/>
    </font>
    <font>
      <sz val="8"/>
      <color theme="1"/>
      <name val="Calibri"/>
      <scheme val="minor"/>
    </font>
    <font>
      <b/>
      <sz val="12"/>
      <color rgb="FF000000"/>
      <name val="Calibri"/>
      <scheme val="minor"/>
    </font>
    <font>
      <b/>
      <sz val="12"/>
      <color indexed="8"/>
      <name val="Calibri"/>
    </font>
    <font>
      <b/>
      <sz val="12"/>
      <name val="Calibri"/>
    </font>
    <font>
      <b/>
      <sz val="14"/>
      <color theme="1"/>
      <name val="Calibri"/>
      <scheme val="minor"/>
    </font>
    <font>
      <b/>
      <sz val="9"/>
      <color indexed="81"/>
      <name val="Tahoma"/>
      <family val="2"/>
    </font>
    <font>
      <sz val="9"/>
      <color indexed="81"/>
      <name val="Tahoma"/>
      <family val="2"/>
    </font>
    <font>
      <sz val="11"/>
      <color theme="1"/>
      <name val="Arial"/>
      <family val="2"/>
    </font>
    <font>
      <sz val="11"/>
      <color rgb="FF000000"/>
      <name val="Arial"/>
      <family val="2"/>
    </font>
    <font>
      <b/>
      <sz val="11"/>
      <color theme="1"/>
      <name val="Arial"/>
      <family val="2"/>
    </font>
    <font>
      <sz val="10"/>
      <color theme="1"/>
      <name val="Arial"/>
      <family val="2"/>
    </font>
    <font>
      <sz val="10"/>
      <color rgb="FF000000"/>
      <name val="Arial"/>
    </font>
    <font>
      <i/>
      <sz val="10"/>
      <color rgb="FF000000"/>
      <name val="Arial"/>
    </font>
    <font>
      <sz val="14"/>
      <color theme="1"/>
      <name val="Calibri"/>
      <scheme val="minor"/>
    </font>
    <font>
      <b/>
      <sz val="10"/>
      <color theme="1"/>
      <name val="Calibri (Body)"/>
    </font>
    <font>
      <sz val="10"/>
      <color theme="1"/>
      <name val="Calibri (Body)"/>
    </font>
    <font>
      <sz val="12"/>
      <name val="Calibri"/>
    </font>
    <font>
      <sz val="9"/>
      <color indexed="81"/>
      <name val="Calibri"/>
      <family val="2"/>
    </font>
    <font>
      <b/>
      <sz val="9"/>
      <color indexed="81"/>
      <name val="Calibri"/>
      <family val="2"/>
    </font>
    <font>
      <sz val="9"/>
      <color rgb="FF000000"/>
      <name val="Calibri"/>
      <scheme val="minor"/>
    </font>
    <font>
      <b/>
      <sz val="9"/>
      <color rgb="FF000000"/>
      <name val="Calibri"/>
      <scheme val="minor"/>
    </font>
    <font>
      <sz val="10"/>
      <color rgb="FF000000"/>
      <name val="Calibri"/>
    </font>
    <font>
      <b/>
      <sz val="10"/>
      <color rgb="FF000000"/>
      <name val="Calibri"/>
    </font>
    <font>
      <sz val="10"/>
      <color theme="1"/>
      <name val="Calibri"/>
    </font>
    <font>
      <sz val="10"/>
      <color theme="1"/>
      <name val="Calibri"/>
      <scheme val="minor"/>
    </font>
    <font>
      <sz val="14"/>
      <color rgb="FFFF0000"/>
      <name val="Calibri"/>
      <scheme val="minor"/>
    </font>
    <font>
      <vertAlign val="superscript"/>
      <sz val="10"/>
      <name val="Arial"/>
    </font>
    <font>
      <b/>
      <sz val="10"/>
      <color theme="1"/>
      <name val="Arial"/>
      <family val="2"/>
    </font>
  </fonts>
  <fills count="14">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theme="9" tint="0.39997558519241921"/>
        <bgColor indexed="64"/>
      </patternFill>
    </fill>
    <fill>
      <patternFill patternType="solid">
        <fgColor rgb="FFFF0000"/>
        <bgColor indexed="64"/>
      </patternFill>
    </fill>
    <fill>
      <patternFill patternType="solid">
        <fgColor rgb="FF008000"/>
        <bgColor indexed="64"/>
      </patternFill>
    </fill>
    <fill>
      <patternFill patternType="solid">
        <fgColor rgb="FF008000"/>
        <bgColor rgb="FF000000"/>
      </patternFill>
    </fill>
    <fill>
      <patternFill patternType="solid">
        <fgColor theme="0"/>
        <bgColor indexed="64"/>
      </patternFill>
    </fill>
    <fill>
      <patternFill patternType="solid">
        <fgColor rgb="FFFFFFFF"/>
        <bgColor rgb="FF000000"/>
      </patternFill>
    </fill>
    <fill>
      <patternFill patternType="solid">
        <fgColor rgb="FFFF0000"/>
        <bgColor rgb="FF000000"/>
      </patternFill>
    </fill>
    <fill>
      <patternFill patternType="solid">
        <fgColor theme="7" tint="0.59999389629810485"/>
        <bgColor indexed="64"/>
      </patternFill>
    </fill>
    <fill>
      <patternFill patternType="solid">
        <fgColor theme="9" tint="0.59999389629810485"/>
        <bgColor indexed="64"/>
      </patternFill>
    </fill>
    <fill>
      <patternFill patternType="solid">
        <fgColor theme="3" tint="0.59999389629810485"/>
        <bgColor indexed="64"/>
      </patternFill>
    </fill>
  </fills>
  <borders count="4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medium">
        <color auto="1"/>
      </right>
      <top style="thin">
        <color auto="1"/>
      </top>
      <bottom/>
      <diagonal/>
    </border>
    <border>
      <left/>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style="thin">
        <color auto="1"/>
      </top>
      <bottom style="thin">
        <color auto="1"/>
      </bottom>
      <diagonal/>
    </border>
    <border>
      <left style="medium">
        <color auto="1"/>
      </left>
      <right/>
      <top style="thin">
        <color auto="1"/>
      </top>
      <bottom style="medium">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right/>
      <top style="thin">
        <color auto="1"/>
      </top>
      <bottom/>
      <diagonal/>
    </border>
  </borders>
  <cellStyleXfs count="582">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3" fillId="0" borderId="0"/>
    <xf numFmtId="164" fontId="13"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4" fontId="3"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9" fontId="2"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4" fontId="1" fillId="0" borderId="0" applyFont="0" applyFill="0" applyBorder="0" applyAlignment="0" applyProtection="0"/>
    <xf numFmtId="0" fontId="10" fillId="0" borderId="0"/>
    <xf numFmtId="9" fontId="1"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568">
    <xf numFmtId="0" fontId="0" fillId="0" borderId="0" xfId="0"/>
    <xf numFmtId="0" fontId="5" fillId="0" borderId="0" xfId="0" applyFont="1"/>
    <xf numFmtId="0" fontId="0" fillId="0" borderId="0" xfId="0" applyAlignment="1">
      <alignment horizontal="left"/>
    </xf>
    <xf numFmtId="0" fontId="6" fillId="0" borderId="0" xfId="0" applyFont="1"/>
    <xf numFmtId="0" fontId="4" fillId="0" borderId="0" xfId="0" applyFont="1" applyAlignment="1">
      <alignment horizontal="left"/>
    </xf>
    <xf numFmtId="0" fontId="6" fillId="0" borderId="0" xfId="0" applyFont="1" applyFill="1"/>
    <xf numFmtId="0" fontId="0" fillId="0" borderId="4" xfId="0" applyBorder="1"/>
    <xf numFmtId="0" fontId="9" fillId="0" borderId="4" xfId="0" applyFont="1" applyBorder="1"/>
    <xf numFmtId="0" fontId="9" fillId="0" borderId="6" xfId="0" applyFont="1" applyBorder="1"/>
    <xf numFmtId="0" fontId="0" fillId="0" borderId="0" xfId="0" applyFont="1"/>
    <xf numFmtId="0" fontId="0" fillId="0" borderId="0" xfId="0" applyAlignment="1">
      <alignment horizontal="center"/>
    </xf>
    <xf numFmtId="0" fontId="0" fillId="0" borderId="6" xfId="0" applyBorder="1"/>
    <xf numFmtId="0" fontId="12" fillId="0" borderId="12" xfId="0" applyFont="1" applyBorder="1"/>
    <xf numFmtId="0" fontId="5" fillId="0" borderId="12" xfId="0" applyFont="1" applyBorder="1"/>
    <xf numFmtId="0" fontId="0" fillId="0" borderId="0" xfId="0" applyNumberFormat="1" applyAlignment="1">
      <alignment horizontal="center"/>
    </xf>
    <xf numFmtId="0" fontId="6" fillId="0" borderId="2" xfId="0" applyFont="1" applyBorder="1" applyAlignment="1">
      <alignment vertical="top"/>
    </xf>
    <xf numFmtId="0" fontId="0" fillId="0" borderId="0" xfId="0" applyAlignment="1">
      <alignment vertical="top"/>
    </xf>
    <xf numFmtId="0" fontId="0" fillId="0" borderId="0" xfId="0" applyAlignment="1">
      <alignment wrapText="1"/>
    </xf>
    <xf numFmtId="0" fontId="4" fillId="0" borderId="0" xfId="0" applyFont="1"/>
    <xf numFmtId="0" fontId="5" fillId="0" borderId="0" xfId="0" applyFont="1" applyAlignment="1">
      <alignment horizontal="right"/>
    </xf>
    <xf numFmtId="0" fontId="0" fillId="0" borderId="0" xfId="0" applyFont="1" applyAlignment="1">
      <alignment horizontal="right"/>
    </xf>
    <xf numFmtId="0" fontId="16" fillId="0" borderId="0" xfId="0" applyFont="1"/>
    <xf numFmtId="0" fontId="0" fillId="0" borderId="0" xfId="0" applyAlignment="1">
      <alignment horizontal="right"/>
    </xf>
    <xf numFmtId="0" fontId="0" fillId="0" borderId="0" xfId="0" applyFill="1" applyAlignment="1">
      <alignment horizontal="right"/>
    </xf>
    <xf numFmtId="0" fontId="0" fillId="0" borderId="0" xfId="0" applyFill="1"/>
    <xf numFmtId="0" fontId="11" fillId="0" borderId="0" xfId="0" applyFont="1" applyAlignment="1">
      <alignment wrapText="1"/>
    </xf>
    <xf numFmtId="0" fontId="0" fillId="0" borderId="0" xfId="0" applyFont="1" applyFill="1" applyAlignment="1">
      <alignment horizontal="right"/>
    </xf>
    <xf numFmtId="0" fontId="0" fillId="0" borderId="0" xfId="0" applyFont="1" applyAlignment="1"/>
    <xf numFmtId="0" fontId="14" fillId="0" borderId="2" xfId="158" applyFont="1" applyBorder="1" applyAlignment="1">
      <alignment vertical="top"/>
    </xf>
    <xf numFmtId="0" fontId="5" fillId="2" borderId="2" xfId="0" applyFont="1" applyFill="1" applyBorder="1"/>
    <xf numFmtId="0" fontId="5" fillId="6" borderId="2" xfId="0" applyFont="1" applyFill="1" applyBorder="1"/>
    <xf numFmtId="0" fontId="5" fillId="0" borderId="2" xfId="0" applyFont="1" applyBorder="1" applyAlignment="1">
      <alignment horizontal="right"/>
    </xf>
    <xf numFmtId="0" fontId="19" fillId="0" borderId="2" xfId="0" applyFont="1" applyBorder="1" applyAlignment="1">
      <alignment vertical="top" wrapText="1"/>
    </xf>
    <xf numFmtId="0" fontId="7" fillId="0" borderId="13" xfId="158" applyBorder="1" applyAlignment="1">
      <alignment vertical="top"/>
    </xf>
    <xf numFmtId="0" fontId="0" fillId="6" borderId="13" xfId="0" applyFont="1" applyFill="1" applyBorder="1"/>
    <xf numFmtId="0" fontId="0" fillId="0" borderId="13" xfId="0" applyFont="1" applyBorder="1" applyAlignment="1">
      <alignment horizontal="right"/>
    </xf>
    <xf numFmtId="0" fontId="0" fillId="2" borderId="13" xfId="0" applyFont="1" applyFill="1" applyBorder="1"/>
    <xf numFmtId="0" fontId="19" fillId="0" borderId="13" xfId="0" applyFont="1" applyBorder="1" applyAlignment="1">
      <alignment vertical="top" wrapText="1"/>
    </xf>
    <xf numFmtId="0" fontId="19" fillId="0" borderId="13" xfId="0" applyFont="1" applyBorder="1" applyAlignment="1">
      <alignment horizontal="left" vertical="top" wrapText="1"/>
    </xf>
    <xf numFmtId="0" fontId="5" fillId="5" borderId="13" xfId="0" applyFont="1" applyFill="1" applyBorder="1" applyAlignment="1">
      <alignment horizontal="right"/>
    </xf>
    <xf numFmtId="0" fontId="5" fillId="0" borderId="13" xfId="0" applyFont="1" applyBorder="1" applyAlignment="1">
      <alignment horizontal="right"/>
    </xf>
    <xf numFmtId="0" fontId="0" fillId="0" borderId="4" xfId="0" applyFont="1" applyBorder="1"/>
    <xf numFmtId="0" fontId="0" fillId="5" borderId="13" xfId="0" applyFont="1" applyFill="1" applyBorder="1" applyAlignment="1">
      <alignment horizontal="right"/>
    </xf>
    <xf numFmtId="0" fontId="5" fillId="6" borderId="13" xfId="0" applyFont="1" applyFill="1" applyBorder="1" applyAlignment="1">
      <alignment horizontal="right"/>
    </xf>
    <xf numFmtId="0" fontId="5" fillId="2" borderId="13" xfId="0" applyFont="1" applyFill="1" applyBorder="1" applyAlignment="1">
      <alignment horizontal="right"/>
    </xf>
    <xf numFmtId="0" fontId="0" fillId="6" borderId="13" xfId="0" applyFont="1" applyFill="1" applyBorder="1" applyAlignment="1">
      <alignment horizontal="right"/>
    </xf>
    <xf numFmtId="0" fontId="0" fillId="6" borderId="13" xfId="0" applyFont="1" applyFill="1" applyBorder="1" applyAlignment="1"/>
    <xf numFmtId="0" fontId="0" fillId="2" borderId="13" xfId="0" applyFont="1" applyFill="1" applyBorder="1" applyAlignment="1">
      <alignment horizontal="right"/>
    </xf>
    <xf numFmtId="0" fontId="0" fillId="0" borderId="13" xfId="0" applyFont="1" applyFill="1" applyBorder="1" applyAlignment="1">
      <alignment horizontal="right"/>
    </xf>
    <xf numFmtId="0" fontId="4" fillId="0" borderId="13" xfId="0" applyFont="1" applyBorder="1" applyAlignment="1">
      <alignment vertical="top"/>
    </xf>
    <xf numFmtId="0" fontId="0" fillId="0" borderId="13" xfId="0" applyBorder="1" applyAlignment="1">
      <alignment horizontal="center"/>
    </xf>
    <xf numFmtId="0" fontId="0" fillId="2" borderId="13" xfId="0" applyFont="1" applyFill="1" applyBorder="1" applyAlignment="1"/>
    <xf numFmtId="0" fontId="5" fillId="0" borderId="13" xfId="0" applyFont="1" applyFill="1" applyBorder="1" applyAlignment="1">
      <alignment horizontal="right"/>
    </xf>
    <xf numFmtId="0" fontId="17" fillId="0" borderId="13" xfId="158" applyFont="1" applyBorder="1" applyAlignment="1">
      <alignment vertical="top"/>
    </xf>
    <xf numFmtId="0" fontId="7" fillId="0" borderId="14" xfId="158" applyBorder="1" applyAlignment="1">
      <alignment vertical="top"/>
    </xf>
    <xf numFmtId="0" fontId="0" fillId="0" borderId="15" xfId="0" applyFont="1" applyBorder="1" applyAlignment="1">
      <alignment horizontal="right"/>
    </xf>
    <xf numFmtId="0" fontId="0" fillId="5" borderId="15" xfId="0" applyFont="1" applyFill="1" applyBorder="1" applyAlignment="1">
      <alignment horizontal="right"/>
    </xf>
    <xf numFmtId="0" fontId="19" fillId="0" borderId="15" xfId="0" applyFont="1" applyBorder="1" applyAlignment="1">
      <alignment vertical="top" wrapText="1"/>
    </xf>
    <xf numFmtId="0" fontId="19" fillId="0" borderId="3" xfId="0" applyFont="1" applyBorder="1" applyAlignment="1">
      <alignment vertical="top" wrapText="1"/>
    </xf>
    <xf numFmtId="0" fontId="19" fillId="0" borderId="5" xfId="0" applyFont="1" applyBorder="1"/>
    <xf numFmtId="0" fontId="0" fillId="2" borderId="14" xfId="0" applyFont="1" applyFill="1" applyBorder="1" applyAlignment="1"/>
    <xf numFmtId="0" fontId="0" fillId="6" borderId="14" xfId="0" applyFont="1" applyFill="1" applyBorder="1" applyAlignment="1">
      <alignment horizontal="right"/>
    </xf>
    <xf numFmtId="0" fontId="0" fillId="0" borderId="14" xfId="0" applyFont="1" applyBorder="1" applyAlignment="1">
      <alignment horizontal="right"/>
    </xf>
    <xf numFmtId="0" fontId="0" fillId="2" borderId="14" xfId="0" applyFont="1" applyFill="1" applyBorder="1" applyAlignment="1">
      <alignment horizontal="right"/>
    </xf>
    <xf numFmtId="0" fontId="0" fillId="5" borderId="14" xfId="0" applyFont="1" applyFill="1" applyBorder="1" applyAlignment="1">
      <alignment horizontal="right"/>
    </xf>
    <xf numFmtId="0" fontId="0" fillId="0" borderId="14" xfId="0" applyFont="1" applyFill="1" applyBorder="1" applyAlignment="1">
      <alignment horizontal="right"/>
    </xf>
    <xf numFmtId="0" fontId="19" fillId="0" borderId="14" xfId="0" applyFont="1" applyBorder="1" applyAlignment="1">
      <alignment vertical="top" wrapText="1"/>
    </xf>
    <xf numFmtId="0" fontId="5" fillId="6" borderId="2" xfId="0" applyFont="1" applyFill="1" applyBorder="1" applyAlignment="1">
      <alignment horizontal="right"/>
    </xf>
    <xf numFmtId="0" fontId="5" fillId="2" borderId="2" xfId="0" applyFont="1" applyFill="1" applyBorder="1" applyAlignment="1">
      <alignment horizontal="right"/>
    </xf>
    <xf numFmtId="0" fontId="5" fillId="5" borderId="2" xfId="0" applyFont="1" applyFill="1" applyBorder="1" applyAlignment="1">
      <alignment horizontal="right"/>
    </xf>
    <xf numFmtId="0" fontId="0" fillId="6" borderId="14" xfId="0" applyFont="1" applyFill="1" applyBorder="1" applyAlignment="1"/>
    <xf numFmtId="0" fontId="19" fillId="0" borderId="14" xfId="0" applyFont="1" applyBorder="1" applyAlignment="1">
      <alignment horizontal="left" vertical="top" wrapText="1"/>
    </xf>
    <xf numFmtId="0" fontId="0" fillId="0" borderId="16" xfId="0" applyFont="1" applyBorder="1"/>
    <xf numFmtId="0" fontId="7" fillId="0" borderId="15" xfId="158" applyBorder="1" applyAlignment="1">
      <alignment vertical="top"/>
    </xf>
    <xf numFmtId="0" fontId="0" fillId="2" borderId="15" xfId="0" applyFont="1" applyFill="1" applyBorder="1"/>
    <xf numFmtId="0" fontId="0" fillId="6" borderId="15" xfId="0" applyFont="1" applyFill="1" applyBorder="1"/>
    <xf numFmtId="0" fontId="19" fillId="0" borderId="15" xfId="0" applyFont="1" applyBorder="1" applyAlignment="1">
      <alignment wrapText="1"/>
    </xf>
    <xf numFmtId="0" fontId="14" fillId="0" borderId="8" xfId="158" applyFont="1" applyBorder="1" applyAlignment="1">
      <alignment vertical="top"/>
    </xf>
    <xf numFmtId="0" fontId="5" fillId="2" borderId="8" xfId="0" applyFont="1" applyFill="1" applyBorder="1"/>
    <xf numFmtId="0" fontId="5" fillId="6" borderId="8" xfId="0" applyFont="1" applyFill="1" applyBorder="1"/>
    <xf numFmtId="0" fontId="5" fillId="5" borderId="8" xfId="0" applyFont="1" applyFill="1" applyBorder="1" applyAlignment="1">
      <alignment horizontal="right"/>
    </xf>
    <xf numFmtId="0" fontId="5" fillId="0" borderId="8" xfId="0" applyFont="1" applyBorder="1"/>
    <xf numFmtId="0" fontId="19" fillId="0" borderId="8" xfId="0" applyFont="1" applyBorder="1" applyAlignment="1">
      <alignment vertical="top" wrapText="1"/>
    </xf>
    <xf numFmtId="0" fontId="19" fillId="0" borderId="9" xfId="0" applyFont="1" applyBorder="1" applyAlignment="1">
      <alignment vertical="top" wrapText="1"/>
    </xf>
    <xf numFmtId="0" fontId="6" fillId="0" borderId="8" xfId="0" applyFont="1" applyBorder="1" applyAlignment="1">
      <alignment vertical="top"/>
    </xf>
    <xf numFmtId="0" fontId="0" fillId="0" borderId="8" xfId="0" applyFont="1" applyBorder="1" applyAlignment="1">
      <alignment horizontal="right"/>
    </xf>
    <xf numFmtId="0" fontId="0" fillId="0" borderId="8" xfId="0" applyFont="1" applyFill="1" applyBorder="1" applyAlignment="1">
      <alignment horizontal="right"/>
    </xf>
    <xf numFmtId="0" fontId="0" fillId="0" borderId="2" xfId="0" applyFont="1" applyFill="1" applyBorder="1" applyAlignment="1">
      <alignment horizontal="right"/>
    </xf>
    <xf numFmtId="0" fontId="4" fillId="0" borderId="14" xfId="0" applyFont="1" applyBorder="1" applyAlignment="1">
      <alignment vertical="top"/>
    </xf>
    <xf numFmtId="0" fontId="19" fillId="0" borderId="7" xfId="0" applyFont="1" applyBorder="1"/>
    <xf numFmtId="0" fontId="14" fillId="0" borderId="18" xfId="158" applyFont="1" applyBorder="1" applyAlignment="1">
      <alignment vertical="top"/>
    </xf>
    <xf numFmtId="0" fontId="5" fillId="2" borderId="18" xfId="0" applyFont="1" applyFill="1" applyBorder="1" applyAlignment="1"/>
    <xf numFmtId="0" fontId="5" fillId="6" borderId="18" xfId="0" applyFont="1" applyFill="1" applyBorder="1" applyAlignment="1">
      <alignment horizontal="right"/>
    </xf>
    <xf numFmtId="0" fontId="5" fillId="2" borderId="18" xfId="0" applyFont="1" applyFill="1" applyBorder="1" applyAlignment="1">
      <alignment horizontal="right"/>
    </xf>
    <xf numFmtId="0" fontId="5" fillId="0" borderId="18" xfId="0" applyFont="1" applyBorder="1" applyAlignment="1">
      <alignment horizontal="right"/>
    </xf>
    <xf numFmtId="0" fontId="19" fillId="0" borderId="18" xfId="0" applyFont="1" applyBorder="1" applyAlignment="1">
      <alignment vertical="top" wrapText="1"/>
    </xf>
    <xf numFmtId="0" fontId="0" fillId="0" borderId="2" xfId="0" applyFont="1" applyBorder="1" applyAlignment="1">
      <alignment horizontal="right"/>
    </xf>
    <xf numFmtId="0" fontId="5" fillId="2" borderId="2" xfId="0" applyFont="1" applyFill="1" applyBorder="1" applyAlignment="1"/>
    <xf numFmtId="0" fontId="5" fillId="0" borderId="2" xfId="0" applyFont="1" applyFill="1" applyBorder="1" applyAlignment="1">
      <alignment horizontal="right"/>
    </xf>
    <xf numFmtId="0" fontId="5" fillId="2" borderId="8" xfId="0" applyFont="1" applyFill="1" applyBorder="1" applyAlignment="1"/>
    <xf numFmtId="0" fontId="5" fillId="6" borderId="8" xfId="0" applyFont="1" applyFill="1" applyBorder="1" applyAlignment="1">
      <alignment horizontal="right"/>
    </xf>
    <xf numFmtId="0" fontId="5" fillId="2" borderId="8" xfId="0" applyFont="1" applyFill="1" applyBorder="1" applyAlignment="1">
      <alignment horizontal="right"/>
    </xf>
    <xf numFmtId="0" fontId="5" fillId="0" borderId="8" xfId="0" applyFont="1" applyBorder="1" applyAlignment="1">
      <alignment horizontal="right"/>
    </xf>
    <xf numFmtId="0" fontId="5" fillId="6" borderId="2" xfId="0" applyFont="1" applyFill="1" applyBorder="1" applyAlignment="1"/>
    <xf numFmtId="0" fontId="20" fillId="7" borderId="2" xfId="0" applyFont="1" applyFill="1" applyBorder="1" applyAlignment="1">
      <alignment horizontal="right"/>
    </xf>
    <xf numFmtId="0" fontId="0" fillId="0" borderId="13" xfId="0" applyFont="1" applyBorder="1" applyAlignment="1">
      <alignment horizontal="center"/>
    </xf>
    <xf numFmtId="0" fontId="5" fillId="5" borderId="18" xfId="0" applyFont="1" applyFill="1" applyBorder="1" applyAlignment="1">
      <alignment horizontal="right"/>
    </xf>
    <xf numFmtId="0" fontId="0" fillId="0" borderId="16" xfId="0" applyBorder="1"/>
    <xf numFmtId="0" fontId="0" fillId="6" borderId="19" xfId="0" applyFont="1" applyFill="1" applyBorder="1"/>
    <xf numFmtId="0" fontId="16" fillId="7" borderId="13" xfId="0" applyFont="1" applyFill="1" applyBorder="1" applyAlignment="1">
      <alignment horizontal="right"/>
    </xf>
    <xf numFmtId="0" fontId="23" fillId="0" borderId="0" xfId="0" applyFont="1"/>
    <xf numFmtId="0" fontId="0" fillId="0" borderId="23" xfId="0" applyBorder="1"/>
    <xf numFmtId="0" fontId="0" fillId="2" borderId="13" xfId="0" applyFill="1" applyBorder="1"/>
    <xf numFmtId="0" fontId="0" fillId="0" borderId="23" xfId="0" applyFont="1" applyBorder="1" applyAlignment="1">
      <alignment horizontal="center"/>
    </xf>
    <xf numFmtId="2" fontId="0" fillId="0" borderId="13" xfId="0" applyNumberFormat="1" applyBorder="1" applyAlignment="1">
      <alignment horizontal="center"/>
    </xf>
    <xf numFmtId="0" fontId="0" fillId="0" borderId="13" xfId="0" applyNumberFormat="1" applyFont="1" applyBorder="1" applyAlignment="1">
      <alignment horizontal="center" wrapText="1"/>
    </xf>
    <xf numFmtId="0" fontId="0" fillId="0" borderId="13" xfId="0" applyBorder="1" applyAlignment="1">
      <alignment horizontal="center" wrapText="1"/>
    </xf>
    <xf numFmtId="0" fontId="0" fillId="0" borderId="20" xfId="0" applyBorder="1"/>
    <xf numFmtId="0" fontId="0" fillId="0" borderId="20" xfId="0" applyFont="1" applyBorder="1" applyAlignment="1">
      <alignment horizontal="center"/>
    </xf>
    <xf numFmtId="2" fontId="0" fillId="0" borderId="15" xfId="0" applyNumberFormat="1" applyBorder="1" applyAlignment="1">
      <alignment horizontal="center"/>
    </xf>
    <xf numFmtId="0" fontId="0" fillId="0" borderId="15" xfId="0" applyFont="1" applyBorder="1" applyAlignment="1">
      <alignment horizontal="center"/>
    </xf>
    <xf numFmtId="0" fontId="0" fillId="0" borderId="15" xfId="0" applyBorder="1" applyAlignment="1">
      <alignment horizontal="center"/>
    </xf>
    <xf numFmtId="0" fontId="5" fillId="0" borderId="24" xfId="0" applyFont="1" applyBorder="1" applyAlignment="1">
      <alignment horizontal="center"/>
    </xf>
    <xf numFmtId="0" fontId="0" fillId="0" borderId="19" xfId="0" applyFont="1" applyBorder="1" applyAlignment="1">
      <alignment horizontal="center"/>
    </xf>
    <xf numFmtId="0" fontId="9" fillId="0" borderId="2" xfId="0" applyFont="1" applyBorder="1" applyAlignment="1">
      <alignment horizontal="center" wrapText="1"/>
    </xf>
    <xf numFmtId="0" fontId="0" fillId="0" borderId="13" xfId="0" applyFill="1" applyBorder="1" applyAlignment="1">
      <alignment horizontal="center"/>
    </xf>
    <xf numFmtId="0" fontId="9" fillId="0" borderId="23" xfId="0" applyFont="1" applyBorder="1"/>
    <xf numFmtId="0" fontId="9" fillId="0" borderId="13" xfId="0" applyFont="1" applyBorder="1" applyAlignment="1">
      <alignment horizontal="center" wrapText="1"/>
    </xf>
    <xf numFmtId="0" fontId="9" fillId="5" borderId="13" xfId="0" applyFont="1" applyFill="1" applyBorder="1" applyAlignment="1">
      <alignment horizontal="left"/>
    </xf>
    <xf numFmtId="0" fontId="9" fillId="0" borderId="13" xfId="0" applyFont="1" applyBorder="1" applyAlignment="1">
      <alignment horizontal="center"/>
    </xf>
    <xf numFmtId="0" fontId="0" fillId="0" borderId="13" xfId="0" applyFont="1" applyBorder="1" applyAlignment="1">
      <alignment horizontal="center" wrapText="1"/>
    </xf>
    <xf numFmtId="0" fontId="9" fillId="5" borderId="13" xfId="0" applyFont="1" applyFill="1" applyBorder="1"/>
    <xf numFmtId="0" fontId="9" fillId="0" borderId="14" xfId="0" applyFont="1" applyBorder="1" applyAlignment="1">
      <alignment horizontal="center"/>
    </xf>
    <xf numFmtId="9" fontId="9" fillId="0" borderId="14" xfId="0" applyNumberFormat="1" applyFont="1" applyBorder="1" applyAlignment="1">
      <alignment horizontal="center"/>
    </xf>
    <xf numFmtId="0" fontId="9" fillId="2" borderId="13" xfId="0" applyFont="1" applyFill="1" applyBorder="1"/>
    <xf numFmtId="0" fontId="9" fillId="0" borderId="15" xfId="0" applyFont="1" applyBorder="1" applyAlignment="1">
      <alignment horizontal="center"/>
    </xf>
    <xf numFmtId="0" fontId="9" fillId="0" borderId="13" xfId="0" applyFont="1" applyFill="1" applyBorder="1" applyAlignment="1">
      <alignment horizontal="center"/>
    </xf>
    <xf numFmtId="0" fontId="9" fillId="2" borderId="13" xfId="0" applyFont="1" applyFill="1" applyBorder="1" applyAlignment="1">
      <alignment horizontal="left"/>
    </xf>
    <xf numFmtId="0" fontId="12" fillId="0" borderId="18" xfId="0" applyFont="1" applyBorder="1" applyAlignment="1">
      <alignment horizontal="center" wrapText="1"/>
    </xf>
    <xf numFmtId="0" fontId="0" fillId="0" borderId="15" xfId="0" applyFont="1" applyFill="1" applyBorder="1" applyAlignment="1">
      <alignment horizontal="right"/>
    </xf>
    <xf numFmtId="0" fontId="5" fillId="0" borderId="19" xfId="0" applyFont="1" applyFill="1" applyBorder="1" applyAlignment="1">
      <alignment horizontal="right"/>
    </xf>
    <xf numFmtId="0" fontId="5" fillId="0" borderId="8" xfId="0" applyFont="1" applyFill="1" applyBorder="1" applyAlignment="1">
      <alignment horizontal="right"/>
    </xf>
    <xf numFmtId="0" fontId="5" fillId="0" borderId="18" xfId="0" applyFont="1" applyFill="1" applyBorder="1" applyAlignment="1">
      <alignment horizontal="right"/>
    </xf>
    <xf numFmtId="0" fontId="20" fillId="0" borderId="8" xfId="0" applyFont="1" applyBorder="1" applyAlignment="1">
      <alignment horizontal="center" vertical="center"/>
    </xf>
    <xf numFmtId="0" fontId="0" fillId="0" borderId="15" xfId="0" applyBorder="1" applyAlignment="1">
      <alignment horizontal="center" wrapText="1"/>
    </xf>
    <xf numFmtId="0" fontId="0" fillId="0" borderId="22" xfId="0" applyBorder="1"/>
    <xf numFmtId="0" fontId="0" fillId="2" borderId="2" xfId="0" applyFill="1" applyBorder="1"/>
    <xf numFmtId="0" fontId="0" fillId="0" borderId="2" xfId="0" applyFill="1" applyBorder="1" applyAlignment="1">
      <alignment horizontal="center"/>
    </xf>
    <xf numFmtId="0" fontId="0" fillId="0" borderId="2" xfId="0" applyFont="1" applyBorder="1" applyAlignment="1">
      <alignment horizontal="center"/>
    </xf>
    <xf numFmtId="0" fontId="0" fillId="0" borderId="2" xfId="0" applyNumberFormat="1" applyFont="1" applyBorder="1" applyAlignment="1">
      <alignment horizontal="center" wrapText="1"/>
    </xf>
    <xf numFmtId="0" fontId="9" fillId="0" borderId="20" xfId="0" applyFont="1" applyBorder="1"/>
    <xf numFmtId="0" fontId="0" fillId="0" borderId="15" xfId="0" applyFill="1" applyBorder="1" applyAlignment="1">
      <alignment horizontal="center"/>
    </xf>
    <xf numFmtId="0" fontId="9" fillId="0" borderId="22" xfId="0" applyFont="1" applyBorder="1"/>
    <xf numFmtId="0" fontId="0" fillId="2" borderId="15" xfId="0" applyFill="1" applyBorder="1"/>
    <xf numFmtId="0" fontId="9" fillId="5" borderId="2" xfId="0" applyFont="1" applyFill="1" applyBorder="1"/>
    <xf numFmtId="0" fontId="9" fillId="0" borderId="2" xfId="0" applyFont="1" applyBorder="1" applyAlignment="1">
      <alignment horizontal="center"/>
    </xf>
    <xf numFmtId="0" fontId="9" fillId="5" borderId="15" xfId="0" applyFont="1" applyFill="1" applyBorder="1"/>
    <xf numFmtId="0" fontId="9" fillId="2" borderId="2" xfId="0" applyFont="1" applyFill="1" applyBorder="1"/>
    <xf numFmtId="0" fontId="9" fillId="2" borderId="15" xfId="0" applyFont="1" applyFill="1" applyBorder="1"/>
    <xf numFmtId="0" fontId="0" fillId="6" borderId="13" xfId="0" applyFill="1" applyBorder="1" applyAlignment="1">
      <alignment horizontal="left"/>
    </xf>
    <xf numFmtId="0" fontId="0" fillId="6" borderId="15" xfId="0" applyFill="1" applyBorder="1" applyAlignment="1">
      <alignment horizontal="left"/>
    </xf>
    <xf numFmtId="0" fontId="0" fillId="6" borderId="2" xfId="0" applyFill="1" applyBorder="1" applyAlignment="1">
      <alignment horizontal="left"/>
    </xf>
    <xf numFmtId="0" fontId="0" fillId="6" borderId="13" xfId="0" applyFill="1" applyBorder="1"/>
    <xf numFmtId="0" fontId="0" fillId="6" borderId="2" xfId="0" applyFill="1" applyBorder="1"/>
    <xf numFmtId="0" fontId="0" fillId="6" borderId="15" xfId="0" applyFill="1" applyBorder="1"/>
    <xf numFmtId="0" fontId="9" fillId="6" borderId="2" xfId="0" applyFont="1" applyFill="1" applyBorder="1"/>
    <xf numFmtId="0" fontId="9" fillId="6" borderId="15" xfId="0" applyFont="1" applyFill="1" applyBorder="1"/>
    <xf numFmtId="0" fontId="9" fillId="6" borderId="2" xfId="0" applyFont="1" applyFill="1" applyBorder="1" applyAlignment="1">
      <alignment horizontal="left"/>
    </xf>
    <xf numFmtId="0" fontId="9" fillId="6" borderId="13" xfId="0" applyFont="1" applyFill="1" applyBorder="1"/>
    <xf numFmtId="0" fontId="9" fillId="6" borderId="13" xfId="0" applyFont="1" applyFill="1" applyBorder="1" applyAlignment="1">
      <alignment horizontal="left"/>
    </xf>
    <xf numFmtId="0" fontId="9" fillId="0" borderId="15" xfId="0" applyFont="1" applyBorder="1" applyAlignment="1">
      <alignment horizontal="center" wrapText="1"/>
    </xf>
    <xf numFmtId="0" fontId="9" fillId="6" borderId="15" xfId="0" applyFont="1" applyFill="1" applyBorder="1" applyAlignment="1">
      <alignment horizontal="left"/>
    </xf>
    <xf numFmtId="0" fontId="0" fillId="0" borderId="25" xfId="0" applyBorder="1"/>
    <xf numFmtId="0" fontId="9" fillId="2" borderId="14" xfId="0" applyFont="1" applyFill="1" applyBorder="1"/>
    <xf numFmtId="0" fontId="0" fillId="0" borderId="13" xfId="0" applyBorder="1"/>
    <xf numFmtId="0" fontId="9" fillId="0" borderId="13" xfId="0" applyFont="1" applyBorder="1"/>
    <xf numFmtId="0" fontId="0" fillId="0" borderId="15" xfId="0" applyBorder="1"/>
    <xf numFmtId="0" fontId="0" fillId="0" borderId="18" xfId="0" applyBorder="1"/>
    <xf numFmtId="0" fontId="0" fillId="0" borderId="2" xfId="0" applyBorder="1"/>
    <xf numFmtId="0" fontId="0" fillId="0" borderId="14" xfId="0" applyBorder="1"/>
    <xf numFmtId="0" fontId="9" fillId="0" borderId="15" xfId="0" applyFont="1" applyBorder="1"/>
    <xf numFmtId="0" fontId="9" fillId="0" borderId="18" xfId="0" applyFont="1" applyBorder="1"/>
    <xf numFmtId="0" fontId="9" fillId="0" borderId="2" xfId="0" applyFont="1" applyBorder="1"/>
    <xf numFmtId="0" fontId="9" fillId="0" borderId="14" xfId="0" applyFont="1" applyBorder="1"/>
    <xf numFmtId="0" fontId="9" fillId="6" borderId="14" xfId="0" applyFont="1" applyFill="1" applyBorder="1"/>
    <xf numFmtId="0" fontId="0" fillId="0" borderId="12" xfId="0" applyBorder="1"/>
    <xf numFmtId="0" fontId="0" fillId="0" borderId="26" xfId="0" applyBorder="1"/>
    <xf numFmtId="0" fontId="9" fillId="2" borderId="8" xfId="0" applyFont="1" applyFill="1" applyBorder="1" applyAlignment="1">
      <alignment horizontal="left"/>
    </xf>
    <xf numFmtId="0" fontId="9" fillId="0" borderId="8" xfId="0" applyFont="1" applyBorder="1" applyAlignment="1">
      <alignment horizontal="center"/>
    </xf>
    <xf numFmtId="9" fontId="9" fillId="0" borderId="8" xfId="0" applyNumberFormat="1" applyFont="1" applyBorder="1" applyAlignment="1">
      <alignment horizontal="center"/>
    </xf>
    <xf numFmtId="0" fontId="9" fillId="6" borderId="8" xfId="0" applyFont="1" applyFill="1" applyBorder="1" applyAlignment="1">
      <alignment horizontal="left"/>
    </xf>
    <xf numFmtId="0" fontId="0" fillId="6" borderId="8" xfId="0" applyFont="1" applyFill="1" applyBorder="1" applyAlignment="1">
      <alignment horizontal="right"/>
    </xf>
    <xf numFmtId="0" fontId="0" fillId="2" borderId="8" xfId="0" applyFont="1" applyFill="1" applyBorder="1" applyAlignment="1"/>
    <xf numFmtId="0" fontId="0" fillId="2" borderId="8" xfId="0" applyFont="1" applyFill="1" applyBorder="1" applyAlignment="1">
      <alignment horizontal="right"/>
    </xf>
    <xf numFmtId="0" fontId="0" fillId="5" borderId="2" xfId="0" applyFont="1" applyFill="1" applyBorder="1" applyAlignment="1"/>
    <xf numFmtId="0" fontId="0" fillId="5" borderId="2" xfId="0" applyFont="1" applyFill="1" applyBorder="1" applyAlignment="1">
      <alignment horizontal="right"/>
    </xf>
    <xf numFmtId="0" fontId="0" fillId="6" borderId="2" xfId="0" applyFont="1" applyFill="1" applyBorder="1" applyAlignment="1">
      <alignment horizontal="right"/>
    </xf>
    <xf numFmtId="0" fontId="0" fillId="5" borderId="14" xfId="0" applyFont="1" applyFill="1" applyBorder="1" applyAlignment="1"/>
    <xf numFmtId="0" fontId="0" fillId="2" borderId="2" xfId="0" applyFont="1" applyFill="1" applyBorder="1" applyAlignment="1"/>
    <xf numFmtId="0" fontId="0" fillId="2" borderId="2" xfId="0" applyFont="1" applyFill="1" applyBorder="1" applyAlignment="1">
      <alignment horizontal="right"/>
    </xf>
    <xf numFmtId="0" fontId="12" fillId="0" borderId="2" xfId="0" applyFont="1" applyBorder="1" applyAlignment="1">
      <alignment horizontal="center" wrapText="1"/>
    </xf>
    <xf numFmtId="0" fontId="9" fillId="0" borderId="19" xfId="0" applyFont="1" applyBorder="1" applyAlignment="1">
      <alignment horizontal="center" wrapText="1"/>
    </xf>
    <xf numFmtId="0" fontId="5" fillId="0" borderId="2" xfId="0" applyFont="1" applyFill="1" applyBorder="1" applyAlignment="1">
      <alignment horizontal="center"/>
    </xf>
    <xf numFmtId="0" fontId="5" fillId="0" borderId="8"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5" fillId="0" borderId="18" xfId="0" applyFont="1" applyFill="1" applyBorder="1" applyAlignment="1">
      <alignment horizontal="center"/>
    </xf>
    <xf numFmtId="0" fontId="26" fillId="0" borderId="0" xfId="236" applyFont="1"/>
    <xf numFmtId="0" fontId="27" fillId="0" borderId="0" xfId="0" applyFont="1"/>
    <xf numFmtId="0" fontId="28" fillId="0" borderId="0" xfId="236" applyFont="1"/>
    <xf numFmtId="0" fontId="27" fillId="0" borderId="0" xfId="236" applyFont="1"/>
    <xf numFmtId="0" fontId="26" fillId="0" borderId="0" xfId="236" applyFont="1" applyAlignment="1"/>
    <xf numFmtId="0" fontId="27" fillId="0" borderId="0" xfId="236" applyFont="1" applyAlignment="1"/>
    <xf numFmtId="0" fontId="15" fillId="0" borderId="0" xfId="158" applyFont="1" applyAlignment="1">
      <alignment horizontal="left" vertical="center"/>
    </xf>
    <xf numFmtId="0" fontId="26" fillId="0" borderId="14" xfId="236" applyFont="1" applyBorder="1"/>
    <xf numFmtId="0" fontId="26" fillId="0" borderId="6" xfId="236" applyFont="1" applyBorder="1"/>
    <xf numFmtId="4" fontId="28" fillId="0" borderId="5" xfId="236" applyNumberFormat="1" applyFont="1" applyFill="1" applyBorder="1"/>
    <xf numFmtId="2" fontId="26" fillId="0" borderId="13" xfId="236" applyNumberFormat="1" applyFont="1" applyFill="1" applyBorder="1" applyAlignment="1">
      <alignment horizontal="right"/>
    </xf>
    <xf numFmtId="2" fontId="26" fillId="0" borderId="13" xfId="236" applyNumberFormat="1" applyFont="1" applyFill="1" applyBorder="1" applyAlignment="1">
      <alignment horizontal="right" vertical="center" wrapText="1"/>
    </xf>
    <xf numFmtId="4" fontId="26" fillId="0" borderId="4" xfId="236" applyNumberFormat="1" applyFont="1" applyFill="1" applyBorder="1"/>
    <xf numFmtId="2" fontId="26" fillId="0" borderId="13" xfId="236" applyNumberFormat="1" applyFont="1" applyFill="1" applyBorder="1"/>
    <xf numFmtId="2" fontId="28" fillId="0" borderId="5" xfId="236" applyNumberFormat="1" applyFont="1" applyFill="1" applyBorder="1"/>
    <xf numFmtId="2" fontId="26" fillId="0" borderId="13" xfId="236" applyNumberFormat="1" applyFont="1" applyFill="1" applyBorder="1" applyAlignment="1">
      <alignment vertical="center" wrapText="1"/>
    </xf>
    <xf numFmtId="0" fontId="26" fillId="0" borderId="29" xfId="236" applyFont="1" applyBorder="1"/>
    <xf numFmtId="2" fontId="26" fillId="0" borderId="4" xfId="236" applyNumberFormat="1" applyFont="1" applyFill="1" applyBorder="1"/>
    <xf numFmtId="0" fontId="26" fillId="0" borderId="13" xfId="236" applyFont="1" applyFill="1" applyBorder="1" applyAlignment="1">
      <alignment horizontal="right" vertical="center" wrapText="1"/>
    </xf>
    <xf numFmtId="4" fontId="28" fillId="0" borderId="5" xfId="236" applyNumberFormat="1" applyFont="1" applyBorder="1"/>
    <xf numFmtId="2" fontId="26" fillId="0" borderId="13" xfId="236" applyNumberFormat="1" applyFont="1" applyBorder="1" applyAlignment="1">
      <alignment horizontal="right"/>
    </xf>
    <xf numFmtId="2" fontId="26" fillId="0" borderId="13" xfId="236" applyNumberFormat="1" applyFont="1" applyBorder="1" applyAlignment="1">
      <alignment horizontal="right" vertical="center" wrapText="1"/>
    </xf>
    <xf numFmtId="4" fontId="26" fillId="0" borderId="4" xfId="236" applyNumberFormat="1" applyFont="1" applyBorder="1"/>
    <xf numFmtId="2" fontId="26" fillId="0" borderId="13" xfId="236" applyNumberFormat="1" applyFont="1" applyBorder="1"/>
    <xf numFmtId="2" fontId="28" fillId="0" borderId="5" xfId="236" applyNumberFormat="1" applyFont="1" applyBorder="1"/>
    <xf numFmtId="0" fontId="26" fillId="0" borderId="13" xfId="236" applyFont="1" applyBorder="1"/>
    <xf numFmtId="0" fontId="26" fillId="0" borderId="13" xfId="236" applyFont="1" applyBorder="1" applyAlignment="1">
      <alignment horizontal="right" vertical="center" wrapText="1"/>
    </xf>
    <xf numFmtId="2" fontId="26" fillId="0" borderId="4" xfId="236" applyNumberFormat="1" applyFont="1" applyBorder="1"/>
    <xf numFmtId="0" fontId="28" fillId="0" borderId="5" xfId="236" applyFont="1" applyBorder="1" applyAlignment="1">
      <alignment horizontal="center"/>
    </xf>
    <xf numFmtId="0" fontId="26" fillId="0" borderId="13" xfId="236" applyFont="1" applyBorder="1" applyAlignment="1">
      <alignment horizontal="center"/>
    </xf>
    <xf numFmtId="0" fontId="26" fillId="0" borderId="4" xfId="236" applyFont="1" applyBorder="1" applyAlignment="1">
      <alignment horizontal="center"/>
    </xf>
    <xf numFmtId="0" fontId="26" fillId="0" borderId="27" xfId="236" applyFont="1" applyBorder="1"/>
    <xf numFmtId="0" fontId="13" fillId="0" borderId="0" xfId="236"/>
    <xf numFmtId="0" fontId="29" fillId="0" borderId="0" xfId="0" applyFont="1" applyAlignment="1"/>
    <xf numFmtId="0" fontId="30" fillId="0" borderId="0" xfId="0" applyFont="1"/>
    <xf numFmtId="0" fontId="29" fillId="0" borderId="0" xfId="236" applyFont="1"/>
    <xf numFmtId="165" fontId="26" fillId="0" borderId="6" xfId="237" applyNumberFormat="1" applyFont="1" applyBorder="1"/>
    <xf numFmtId="0" fontId="28" fillId="0" borderId="28" xfId="236" applyFont="1" applyBorder="1"/>
    <xf numFmtId="165" fontId="28" fillId="0" borderId="29" xfId="236" applyNumberFormat="1" applyFont="1" applyBorder="1"/>
    <xf numFmtId="165" fontId="28" fillId="0" borderId="5" xfId="236" applyNumberFormat="1" applyFont="1" applyBorder="1"/>
    <xf numFmtId="165" fontId="26" fillId="0" borderId="13" xfId="237" applyNumberFormat="1" applyFont="1" applyBorder="1"/>
    <xf numFmtId="165" fontId="26" fillId="0" borderId="13" xfId="237" applyNumberFormat="1" applyFont="1" applyBorder="1" applyAlignment="1">
      <alignment horizontal="center"/>
    </xf>
    <xf numFmtId="165" fontId="26" fillId="0" borderId="4" xfId="237" applyNumberFormat="1" applyFont="1" applyBorder="1"/>
    <xf numFmtId="0" fontId="28" fillId="0" borderId="29" xfId="236" applyFont="1" applyBorder="1"/>
    <xf numFmtId="165" fontId="26" fillId="0" borderId="4" xfId="237" applyNumberFormat="1" applyFont="1" applyFill="1" applyBorder="1"/>
    <xf numFmtId="165" fontId="26" fillId="0" borderId="13" xfId="237" applyNumberFormat="1" applyFont="1" applyFill="1" applyBorder="1"/>
    <xf numFmtId="0" fontId="26" fillId="0" borderId="13" xfId="236" applyFont="1" applyBorder="1" applyAlignment="1">
      <alignment horizontal="center" wrapText="1"/>
    </xf>
    <xf numFmtId="0" fontId="26" fillId="0" borderId="29" xfId="236" applyFont="1" applyBorder="1" applyAlignment="1">
      <alignment horizontal="center"/>
    </xf>
    <xf numFmtId="0" fontId="28" fillId="0" borderId="34" xfId="236" applyFont="1" applyBorder="1"/>
    <xf numFmtId="165" fontId="26" fillId="0" borderId="16" xfId="237" applyNumberFormat="1" applyFont="1" applyBorder="1"/>
    <xf numFmtId="165" fontId="26" fillId="0" borderId="15" xfId="237" applyNumberFormat="1" applyFont="1" applyBorder="1"/>
    <xf numFmtId="165" fontId="26" fillId="0" borderId="15" xfId="237" applyNumberFormat="1" applyFont="1" applyBorder="1" applyAlignment="1">
      <alignment horizontal="center"/>
    </xf>
    <xf numFmtId="0" fontId="13" fillId="0" borderId="0" xfId="236" applyAlignment="1"/>
    <xf numFmtId="0" fontId="29" fillId="0" borderId="0" xfId="236" applyFont="1" applyAlignment="1"/>
    <xf numFmtId="165" fontId="26" fillId="0" borderId="14" xfId="433" applyNumberFormat="1" applyFont="1" applyBorder="1" applyAlignment="1">
      <alignment horizontal="right"/>
    </xf>
    <xf numFmtId="165" fontId="26" fillId="0" borderId="6" xfId="433" applyNumberFormat="1" applyFont="1" applyBorder="1" applyAlignment="1">
      <alignment horizontal="right"/>
    </xf>
    <xf numFmtId="165" fontId="27" fillId="0" borderId="14" xfId="433" applyNumberFormat="1" applyFont="1" applyBorder="1" applyAlignment="1">
      <alignment horizontal="right"/>
    </xf>
    <xf numFmtId="165" fontId="28" fillId="0" borderId="15" xfId="433" applyNumberFormat="1" applyFont="1" applyBorder="1" applyAlignment="1">
      <alignment horizontal="right"/>
    </xf>
    <xf numFmtId="165" fontId="28" fillId="0" borderId="7" xfId="433" applyNumberFormat="1" applyFont="1" applyBorder="1" applyAlignment="1">
      <alignment horizontal="right"/>
    </xf>
    <xf numFmtId="165" fontId="28" fillId="0" borderId="7" xfId="236" applyNumberFormat="1" applyFont="1" applyBorder="1"/>
    <xf numFmtId="0" fontId="26" fillId="0" borderId="16" xfId="236" applyFont="1" applyBorder="1" applyAlignment="1">
      <alignment horizontal="right"/>
    </xf>
    <xf numFmtId="0" fontId="26" fillId="0" borderId="15" xfId="236" applyFont="1" applyBorder="1" applyAlignment="1">
      <alignment horizontal="right"/>
    </xf>
    <xf numFmtId="0" fontId="26" fillId="0" borderId="15" xfId="236" applyFont="1" applyBorder="1" applyAlignment="1">
      <alignment horizontal="right" vertical="center"/>
    </xf>
    <xf numFmtId="0" fontId="26" fillId="0" borderId="21" xfId="236" applyFont="1" applyBorder="1" applyAlignment="1">
      <alignment horizontal="right"/>
    </xf>
    <xf numFmtId="4" fontId="28" fillId="0" borderId="7" xfId="236" applyNumberFormat="1" applyFont="1" applyFill="1" applyBorder="1"/>
    <xf numFmtId="2" fontId="28" fillId="0" borderId="7" xfId="236" applyNumberFormat="1" applyFont="1" applyFill="1" applyBorder="1"/>
    <xf numFmtId="0" fontId="28" fillId="0" borderId="33" xfId="236" applyFont="1" applyBorder="1"/>
    <xf numFmtId="0" fontId="19" fillId="0" borderId="5" xfId="0" applyFont="1" applyBorder="1" applyAlignment="1">
      <alignment horizontal="left"/>
    </xf>
    <xf numFmtId="0" fontId="19" fillId="0" borderId="17" xfId="0" applyFont="1" applyBorder="1" applyAlignment="1">
      <alignment vertical="top" wrapText="1"/>
    </xf>
    <xf numFmtId="0" fontId="19" fillId="0" borderId="17" xfId="0" applyFont="1" applyBorder="1" applyAlignment="1">
      <alignment horizontal="left"/>
    </xf>
    <xf numFmtId="0" fontId="19" fillId="0" borderId="7" xfId="0" applyFont="1" applyBorder="1" applyAlignment="1">
      <alignment horizontal="left"/>
    </xf>
    <xf numFmtId="0" fontId="19" fillId="0" borderId="5" xfId="0" applyFont="1" applyBorder="1" applyAlignment="1">
      <alignment vertical="top" wrapText="1"/>
    </xf>
    <xf numFmtId="0" fontId="19" fillId="0" borderId="7" xfId="0" applyFont="1" applyBorder="1" applyAlignment="1">
      <alignment vertical="top" wrapText="1"/>
    </xf>
    <xf numFmtId="0" fontId="19" fillId="0" borderId="10" xfId="0" applyFont="1" applyBorder="1" applyAlignment="1">
      <alignment vertical="top" wrapText="1"/>
    </xf>
    <xf numFmtId="0" fontId="19" fillId="0" borderId="9" xfId="0" applyFont="1" applyFill="1" applyBorder="1" applyAlignment="1">
      <alignment horizontal="left" vertical="top" wrapText="1"/>
    </xf>
    <xf numFmtId="0" fontId="19" fillId="0" borderId="9" xfId="0" applyFont="1" applyFill="1" applyBorder="1" applyAlignment="1">
      <alignment vertical="top" wrapText="1"/>
    </xf>
    <xf numFmtId="2" fontId="5" fillId="0" borderId="8" xfId="0" applyNumberFormat="1" applyFont="1" applyFill="1" applyBorder="1"/>
    <xf numFmtId="2" fontId="5" fillId="0" borderId="2" xfId="0" applyNumberFormat="1" applyFont="1" applyFill="1" applyBorder="1" applyAlignment="1">
      <alignment horizontal="right"/>
    </xf>
    <xf numFmtId="2" fontId="0" fillId="0" borderId="13" xfId="0" applyNumberFormat="1" applyFont="1" applyFill="1" applyBorder="1" applyAlignment="1">
      <alignment horizontal="right"/>
    </xf>
    <xf numFmtId="2" fontId="0" fillId="0" borderId="15" xfId="0" applyNumberFormat="1" applyFont="1" applyFill="1" applyBorder="1" applyAlignment="1">
      <alignment horizontal="right"/>
    </xf>
    <xf numFmtId="2" fontId="5" fillId="0" borderId="0" xfId="0" applyNumberFormat="1" applyFont="1"/>
    <xf numFmtId="2" fontId="9" fillId="0" borderId="15" xfId="0" applyNumberFormat="1" applyFont="1" applyBorder="1" applyAlignment="1">
      <alignment horizontal="center"/>
    </xf>
    <xf numFmtId="2" fontId="5" fillId="0" borderId="8" xfId="0" applyNumberFormat="1" applyFont="1" applyFill="1" applyBorder="1" applyAlignment="1">
      <alignment horizontal="right"/>
    </xf>
    <xf numFmtId="2" fontId="0" fillId="0" borderId="14" xfId="0" applyNumberFormat="1" applyFont="1" applyFill="1" applyBorder="1" applyAlignment="1">
      <alignment horizontal="right"/>
    </xf>
    <xf numFmtId="2" fontId="0" fillId="0" borderId="0" xfId="0" applyNumberFormat="1" applyFill="1"/>
    <xf numFmtId="2" fontId="5" fillId="0" borderId="19" xfId="0" applyNumberFormat="1" applyFont="1" applyFill="1" applyBorder="1" applyAlignment="1">
      <alignment horizontal="right"/>
    </xf>
    <xf numFmtId="2" fontId="5" fillId="0" borderId="18" xfId="0" applyNumberFormat="1" applyFont="1" applyFill="1" applyBorder="1" applyAlignment="1">
      <alignment horizontal="right"/>
    </xf>
    <xf numFmtId="2" fontId="0" fillId="0" borderId="2" xfId="0" applyNumberFormat="1" applyBorder="1" applyAlignment="1">
      <alignment horizontal="center"/>
    </xf>
    <xf numFmtId="2" fontId="0" fillId="0" borderId="2" xfId="0" applyNumberFormat="1" applyFont="1" applyBorder="1" applyAlignment="1">
      <alignment horizontal="center"/>
    </xf>
    <xf numFmtId="2" fontId="0" fillId="0" borderId="13" xfId="0" applyNumberFormat="1" applyFont="1" applyBorder="1" applyAlignment="1">
      <alignment horizontal="center"/>
    </xf>
    <xf numFmtId="2" fontId="0" fillId="0" borderId="15" xfId="0" applyNumberFormat="1" applyFont="1" applyBorder="1" applyAlignment="1">
      <alignment horizontal="center"/>
    </xf>
    <xf numFmtId="2" fontId="9" fillId="0" borderId="2" xfId="0" applyNumberFormat="1" applyFont="1" applyBorder="1" applyAlignment="1">
      <alignment horizontal="center"/>
    </xf>
    <xf numFmtId="2" fontId="9" fillId="0" borderId="13" xfId="0" applyNumberFormat="1" applyFont="1" applyBorder="1" applyAlignment="1">
      <alignment horizontal="center"/>
    </xf>
    <xf numFmtId="2" fontId="9" fillId="0" borderId="14" xfId="0" applyNumberFormat="1" applyFont="1" applyBorder="1" applyAlignment="1">
      <alignment horizontal="center"/>
    </xf>
    <xf numFmtId="2" fontId="9" fillId="0" borderId="8" xfId="0" applyNumberFormat="1" applyFont="1" applyBorder="1" applyAlignment="1">
      <alignment horizontal="center"/>
    </xf>
    <xf numFmtId="0" fontId="0" fillId="0" borderId="15" xfId="0" applyFont="1" applyBorder="1" applyAlignment="1">
      <alignment horizontal="center" wrapText="1"/>
    </xf>
    <xf numFmtId="0" fontId="0" fillId="0" borderId="18" xfId="0" applyNumberFormat="1" applyFont="1" applyBorder="1" applyAlignment="1">
      <alignment horizontal="center" wrapText="1"/>
    </xf>
    <xf numFmtId="0" fontId="0" fillId="0" borderId="18" xfId="0" applyFont="1" applyBorder="1" applyAlignment="1">
      <alignment horizontal="center"/>
    </xf>
    <xf numFmtId="0" fontId="0" fillId="0" borderId="14" xfId="0" applyBorder="1" applyAlignment="1">
      <alignment horizontal="center" wrapText="1"/>
    </xf>
    <xf numFmtId="0" fontId="0" fillId="0" borderId="14" xfId="0" applyFill="1" applyBorder="1" applyAlignment="1">
      <alignment horizontal="center"/>
    </xf>
    <xf numFmtId="0" fontId="0" fillId="0" borderId="18" xfId="0" applyFont="1" applyBorder="1" applyAlignment="1">
      <alignment horizontal="center" wrapText="1"/>
    </xf>
    <xf numFmtId="0" fontId="0" fillId="0" borderId="2" xfId="0" applyFont="1" applyBorder="1" applyAlignment="1">
      <alignment horizontal="center" wrapText="1"/>
    </xf>
    <xf numFmtId="0" fontId="0" fillId="0" borderId="14" xfId="0" applyFont="1" applyBorder="1" applyAlignment="1">
      <alignment horizontal="center" wrapText="1"/>
    </xf>
    <xf numFmtId="0" fontId="5" fillId="0" borderId="13" xfId="0" applyFont="1" applyFill="1" applyBorder="1" applyAlignment="1">
      <alignment horizontal="center"/>
    </xf>
    <xf numFmtId="0" fontId="0" fillId="0" borderId="13" xfId="0" applyFont="1" applyFill="1" applyBorder="1" applyAlignment="1">
      <alignment horizontal="center" wrapText="1"/>
    </xf>
    <xf numFmtId="0" fontId="5" fillId="0" borderId="2" xfId="0" applyFont="1" applyFill="1" applyBorder="1" applyAlignment="1">
      <alignment horizontal="center" wrapText="1"/>
    </xf>
    <xf numFmtId="0" fontId="0" fillId="0" borderId="15" xfId="0" applyFont="1" applyFill="1" applyBorder="1" applyAlignment="1">
      <alignment horizontal="center" wrapText="1"/>
    </xf>
    <xf numFmtId="0" fontId="0" fillId="0" borderId="15" xfId="0" applyFont="1" applyFill="1" applyBorder="1" applyAlignment="1">
      <alignment horizontal="center"/>
    </xf>
    <xf numFmtId="0" fontId="0" fillId="0" borderId="8" xfId="0" applyFont="1" applyFill="1" applyBorder="1" applyAlignment="1">
      <alignment horizontal="center"/>
    </xf>
    <xf numFmtId="0" fontId="0" fillId="0" borderId="2" xfId="0" applyFont="1" applyFill="1" applyBorder="1" applyAlignment="1">
      <alignment horizontal="center"/>
    </xf>
    <xf numFmtId="0" fontId="5" fillId="0" borderId="19" xfId="0" applyFont="1" applyFill="1" applyBorder="1" applyAlignment="1">
      <alignment horizontal="center"/>
    </xf>
    <xf numFmtId="0" fontId="0" fillId="0" borderId="14" xfId="0" applyFont="1" applyFill="1" applyBorder="1" applyAlignment="1">
      <alignment horizontal="center" wrapText="1"/>
    </xf>
    <xf numFmtId="0" fontId="5" fillId="0" borderId="8" xfId="0" applyFont="1" applyFill="1" applyBorder="1" applyAlignment="1">
      <alignment horizontal="center" wrapText="1"/>
    </xf>
    <xf numFmtId="0" fontId="5" fillId="0" borderId="18" xfId="0" applyFont="1" applyFill="1" applyBorder="1" applyAlignment="1">
      <alignment horizontal="center" wrapText="1"/>
    </xf>
    <xf numFmtId="0" fontId="0" fillId="0" borderId="0" xfId="0" applyBorder="1"/>
    <xf numFmtId="0" fontId="23" fillId="0" borderId="0" xfId="0" applyFont="1" applyBorder="1" applyAlignment="1">
      <alignment horizontal="center"/>
    </xf>
    <xf numFmtId="2" fontId="0" fillId="0" borderId="0" xfId="0" applyNumberFormat="1"/>
    <xf numFmtId="10" fontId="0" fillId="0" borderId="0" xfId="0" applyNumberFormat="1"/>
    <xf numFmtId="2" fontId="0" fillId="0" borderId="0" xfId="0" applyNumberFormat="1" applyBorder="1" applyAlignment="1">
      <alignment horizontal="center"/>
    </xf>
    <xf numFmtId="0" fontId="9" fillId="0" borderId="0" xfId="0" applyFont="1" applyBorder="1" applyAlignment="1">
      <alignment horizontal="center"/>
    </xf>
    <xf numFmtId="0" fontId="0" fillId="0" borderId="0" xfId="0" applyBorder="1" applyAlignment="1">
      <alignment horizontal="center"/>
    </xf>
    <xf numFmtId="0" fontId="5" fillId="0" borderId="0" xfId="0" applyFont="1" applyBorder="1" applyAlignment="1">
      <alignment horizontal="right"/>
    </xf>
    <xf numFmtId="0" fontId="5" fillId="0" borderId="0" xfId="0" applyFont="1" applyBorder="1" applyAlignment="1">
      <alignment horizontal="center"/>
    </xf>
    <xf numFmtId="0" fontId="5" fillId="0" borderId="0" xfId="158" applyFont="1" applyBorder="1" applyAlignment="1">
      <alignment horizontal="center" wrapText="1"/>
    </xf>
    <xf numFmtId="2" fontId="9" fillId="0" borderId="0" xfId="0" applyNumberFormat="1" applyFont="1" applyBorder="1" applyAlignment="1">
      <alignment horizontal="center"/>
    </xf>
    <xf numFmtId="2" fontId="12" fillId="0" borderId="0" xfId="0" applyNumberFormat="1" applyFont="1" applyBorder="1" applyAlignment="1">
      <alignment horizontal="center"/>
    </xf>
    <xf numFmtId="0" fontId="0" fillId="0" borderId="0" xfId="0" applyFont="1" applyBorder="1" applyAlignment="1">
      <alignment horizontal="center"/>
    </xf>
    <xf numFmtId="2" fontId="5" fillId="0" borderId="0" xfId="0" applyNumberFormat="1" applyFont="1" applyBorder="1" applyAlignment="1">
      <alignment horizontal="center"/>
    </xf>
    <xf numFmtId="2" fontId="0" fillId="0" borderId="13" xfId="0" applyNumberFormat="1" applyBorder="1"/>
    <xf numFmtId="0" fontId="0" fillId="0" borderId="35" xfId="0" applyBorder="1"/>
    <xf numFmtId="10" fontId="0" fillId="0" borderId="35" xfId="0" applyNumberFormat="1" applyBorder="1"/>
    <xf numFmtId="10" fontId="0" fillId="0" borderId="0" xfId="0" applyNumberFormat="1" applyBorder="1"/>
    <xf numFmtId="2" fontId="0" fillId="0" borderId="35" xfId="0" applyNumberFormat="1" applyBorder="1"/>
    <xf numFmtId="10" fontId="0" fillId="0" borderId="35" xfId="0" applyNumberFormat="1" applyFont="1" applyBorder="1"/>
    <xf numFmtId="0" fontId="7" fillId="0" borderId="13" xfId="158" applyFont="1" applyBorder="1" applyAlignment="1">
      <alignment vertical="top" wrapText="1"/>
    </xf>
    <xf numFmtId="2" fontId="0" fillId="0" borderId="0" xfId="0" applyNumberFormat="1" applyFont="1" applyBorder="1" applyAlignment="1">
      <alignment horizontal="center"/>
    </xf>
    <xf numFmtId="0" fontId="0" fillId="0" borderId="0" xfId="0" applyBorder="1" applyAlignment="1">
      <alignment wrapText="1"/>
    </xf>
    <xf numFmtId="0" fontId="5" fillId="0" borderId="0" xfId="0" applyFont="1" applyAlignment="1">
      <alignment horizontal="center"/>
    </xf>
    <xf numFmtId="2" fontId="0" fillId="0" borderId="0" xfId="0" applyNumberFormat="1" applyAlignment="1">
      <alignment horizontal="center"/>
    </xf>
    <xf numFmtId="0" fontId="0" fillId="0" borderId="0" xfId="0" applyFill="1" applyBorder="1"/>
    <xf numFmtId="2" fontId="0" fillId="0" borderId="0" xfId="0" applyNumberFormat="1" applyBorder="1"/>
    <xf numFmtId="0" fontId="16" fillId="0" borderId="13" xfId="0" applyFont="1" applyBorder="1" applyAlignment="1">
      <alignment horizontal="center"/>
    </xf>
    <xf numFmtId="2" fontId="16" fillId="0" borderId="13" xfId="0" applyNumberFormat="1" applyFont="1" applyBorder="1" applyAlignment="1">
      <alignment horizontal="center"/>
    </xf>
    <xf numFmtId="0" fontId="32" fillId="0" borderId="0" xfId="0" applyFont="1"/>
    <xf numFmtId="0" fontId="11" fillId="0" borderId="2" xfId="0" applyFont="1" applyBorder="1"/>
    <xf numFmtId="0" fontId="11" fillId="0" borderId="2" xfId="0" applyFont="1" applyBorder="1" applyAlignment="1">
      <alignment wrapText="1"/>
    </xf>
    <xf numFmtId="0" fontId="21" fillId="8" borderId="24" xfId="145" applyFont="1" applyFill="1" applyBorder="1" applyAlignment="1">
      <alignment horizontal="left" vertical="center" wrapText="1"/>
    </xf>
    <xf numFmtId="0" fontId="22" fillId="8" borderId="24" xfId="145" applyFont="1" applyFill="1" applyBorder="1" applyAlignment="1">
      <alignment horizontal="left" vertical="center" wrapText="1"/>
    </xf>
    <xf numFmtId="0" fontId="21" fillId="8" borderId="24" xfId="145" applyFont="1" applyFill="1" applyBorder="1" applyAlignment="1">
      <alignment horizontal="center" vertical="center" wrapText="1"/>
    </xf>
    <xf numFmtId="0" fontId="5" fillId="2" borderId="18" xfId="0" applyFont="1" applyFill="1" applyBorder="1"/>
    <xf numFmtId="0" fontId="5" fillId="6" borderId="18" xfId="0" applyFont="1" applyFill="1" applyBorder="1"/>
    <xf numFmtId="0" fontId="11" fillId="0" borderId="1" xfId="0" applyFont="1" applyBorder="1" applyAlignment="1">
      <alignment wrapText="1"/>
    </xf>
    <xf numFmtId="0" fontId="11" fillId="0" borderId="3" xfId="0" applyFont="1" applyBorder="1" applyAlignment="1">
      <alignment horizontal="left" wrapText="1"/>
    </xf>
    <xf numFmtId="0" fontId="18" fillId="0" borderId="2" xfId="0" applyFont="1" applyBorder="1" applyAlignment="1">
      <alignment wrapText="1"/>
    </xf>
    <xf numFmtId="0" fontId="18" fillId="3" borderId="2" xfId="0" applyFont="1" applyFill="1" applyBorder="1" applyAlignment="1">
      <alignment wrapText="1"/>
    </xf>
    <xf numFmtId="0" fontId="18" fillId="0" borderId="2" xfId="0" applyFont="1" applyFill="1" applyBorder="1" applyAlignment="1">
      <alignment wrapText="1"/>
    </xf>
    <xf numFmtId="0" fontId="18" fillId="4" borderId="2" xfId="0" applyFont="1" applyFill="1" applyBorder="1" applyAlignment="1">
      <alignment wrapText="1"/>
    </xf>
    <xf numFmtId="0" fontId="21" fillId="8" borderId="2" xfId="145" applyFont="1" applyFill="1" applyBorder="1" applyAlignment="1">
      <alignment horizontal="left" wrapText="1"/>
    </xf>
    <xf numFmtId="0" fontId="22" fillId="8" borderId="2" xfId="145" applyFont="1" applyFill="1" applyBorder="1" applyAlignment="1">
      <alignment horizontal="left" wrapText="1"/>
    </xf>
    <xf numFmtId="0" fontId="20" fillId="0" borderId="2" xfId="0" applyFont="1" applyBorder="1" applyAlignment="1">
      <alignment horizontal="center"/>
    </xf>
    <xf numFmtId="0" fontId="12" fillId="9" borderId="22" xfId="0" applyFont="1" applyFill="1" applyBorder="1" applyAlignment="1">
      <alignment horizontal="center" wrapText="1"/>
    </xf>
    <xf numFmtId="0" fontId="11" fillId="0" borderId="1" xfId="0" applyFont="1" applyBorder="1" applyAlignment="1">
      <alignment horizontal="left" wrapText="1"/>
    </xf>
    <xf numFmtId="10" fontId="0" fillId="0" borderId="13" xfId="0" applyNumberFormat="1" applyBorder="1"/>
    <xf numFmtId="0" fontId="11" fillId="0" borderId="0" xfId="0" applyFont="1" applyBorder="1" applyAlignment="1">
      <alignment wrapText="1"/>
    </xf>
    <xf numFmtId="0" fontId="5" fillId="0" borderId="0" xfId="0" applyFont="1" applyBorder="1" applyAlignment="1">
      <alignment wrapText="1"/>
    </xf>
    <xf numFmtId="0" fontId="0" fillId="0" borderId="0" xfId="0" applyFont="1" applyBorder="1"/>
    <xf numFmtId="2" fontId="16" fillId="0" borderId="0" xfId="0" applyNumberFormat="1" applyFont="1" applyAlignment="1">
      <alignment horizontal="center"/>
    </xf>
    <xf numFmtId="0" fontId="0" fillId="0" borderId="0" xfId="0" applyNumberFormat="1" applyBorder="1" applyAlignment="1">
      <alignment horizontal="center"/>
    </xf>
    <xf numFmtId="2" fontId="9" fillId="0" borderId="0" xfId="0" applyNumberFormat="1" applyFont="1" applyAlignment="1">
      <alignment horizontal="center"/>
    </xf>
    <xf numFmtId="0" fontId="9" fillId="0" borderId="0" xfId="0" applyNumberFormat="1" applyFont="1" applyBorder="1" applyAlignment="1">
      <alignment horizontal="center"/>
    </xf>
    <xf numFmtId="2" fontId="9" fillId="0" borderId="0" xfId="0" applyNumberFormat="1" applyFont="1" applyFill="1" applyBorder="1" applyAlignment="1">
      <alignment horizontal="center"/>
    </xf>
    <xf numFmtId="2" fontId="0" fillId="0" borderId="0" xfId="0" applyNumberFormat="1" applyFill="1" applyBorder="1" applyAlignment="1">
      <alignment horizontal="center"/>
    </xf>
    <xf numFmtId="2" fontId="0" fillId="0" borderId="0" xfId="0" applyNumberFormat="1" applyFont="1" applyFill="1" applyBorder="1" applyAlignment="1">
      <alignment horizontal="center"/>
    </xf>
    <xf numFmtId="2" fontId="26" fillId="0" borderId="21" xfId="236" applyNumberFormat="1" applyFont="1" applyBorder="1" applyAlignment="1">
      <alignment horizontal="right"/>
    </xf>
    <xf numFmtId="2" fontId="26" fillId="0" borderId="14" xfId="236" applyNumberFormat="1" applyFont="1" applyBorder="1"/>
    <xf numFmtId="0" fontId="5" fillId="0" borderId="0" xfId="0" applyFont="1" applyFill="1"/>
    <xf numFmtId="0" fontId="5" fillId="0" borderId="0" xfId="0" applyFont="1" applyFill="1" applyBorder="1" applyAlignment="1">
      <alignment horizontal="left"/>
    </xf>
    <xf numFmtId="0" fontId="0" fillId="0" borderId="13" xfId="0" applyBorder="1" applyAlignment="1">
      <alignment horizontal="right"/>
    </xf>
    <xf numFmtId="0" fontId="26" fillId="0" borderId="13" xfId="236" applyFont="1" applyFill="1" applyBorder="1" applyAlignment="1">
      <alignment horizontal="right" vertical="center"/>
    </xf>
    <xf numFmtId="0" fontId="28" fillId="0" borderId="27" xfId="236" applyFont="1" applyBorder="1"/>
    <xf numFmtId="0" fontId="28" fillId="0" borderId="29" xfId="236" applyFont="1" applyBorder="1" applyAlignment="1">
      <alignment horizontal="center"/>
    </xf>
    <xf numFmtId="4" fontId="28" fillId="0" borderId="29" xfId="236" applyNumberFormat="1" applyFont="1" applyBorder="1"/>
    <xf numFmtId="4" fontId="28" fillId="0" borderId="28" xfId="236" applyNumberFormat="1" applyFont="1" applyBorder="1"/>
    <xf numFmtId="0" fontId="5" fillId="0" borderId="11" xfId="0" applyFont="1" applyBorder="1" applyAlignment="1">
      <alignment horizontal="right"/>
    </xf>
    <xf numFmtId="0" fontId="5" fillId="0" borderId="1" xfId="0" applyFont="1" applyBorder="1" applyAlignment="1">
      <alignment horizontal="right"/>
    </xf>
    <xf numFmtId="0" fontId="12" fillId="0" borderId="1" xfId="0" applyFont="1" applyBorder="1" applyAlignment="1">
      <alignment horizontal="right"/>
    </xf>
    <xf numFmtId="0" fontId="12" fillId="0" borderId="12" xfId="0" applyFont="1" applyBorder="1" applyAlignment="1">
      <alignment horizontal="right"/>
    </xf>
    <xf numFmtId="0" fontId="12" fillId="0" borderId="11" xfId="0" applyFont="1" applyBorder="1" applyAlignment="1">
      <alignment horizontal="right"/>
    </xf>
    <xf numFmtId="0" fontId="5" fillId="6" borderId="19" xfId="0" applyFont="1" applyFill="1" applyBorder="1" applyAlignment="1">
      <alignment horizontal="right"/>
    </xf>
    <xf numFmtId="9" fontId="0" fillId="2" borderId="18" xfId="0" applyNumberFormat="1" applyFont="1" applyFill="1" applyBorder="1" applyAlignment="1">
      <alignment horizontal="right"/>
    </xf>
    <xf numFmtId="9" fontId="0" fillId="2" borderId="15" xfId="0" applyNumberFormat="1" applyFont="1" applyFill="1" applyBorder="1" applyAlignment="1">
      <alignment horizontal="right"/>
    </xf>
    <xf numFmtId="9" fontId="5" fillId="2" borderId="2" xfId="0" applyNumberFormat="1" applyFont="1" applyFill="1" applyBorder="1" applyAlignment="1">
      <alignment horizontal="right"/>
    </xf>
    <xf numFmtId="9" fontId="0" fillId="2" borderId="13" xfId="0" applyNumberFormat="1" applyFont="1" applyFill="1" applyBorder="1" applyAlignment="1">
      <alignment horizontal="right"/>
    </xf>
    <xf numFmtId="9" fontId="5" fillId="2" borderId="8" xfId="0" applyNumberFormat="1" applyFont="1" applyFill="1" applyBorder="1"/>
    <xf numFmtId="9" fontId="0" fillId="2" borderId="14" xfId="0" applyNumberFormat="1" applyFont="1" applyFill="1" applyBorder="1" applyAlignment="1">
      <alignment horizontal="right"/>
    </xf>
    <xf numFmtId="9" fontId="5" fillId="2" borderId="8" xfId="0" applyNumberFormat="1" applyFont="1" applyFill="1" applyBorder="1" applyAlignment="1">
      <alignment horizontal="right"/>
    </xf>
    <xf numFmtId="9" fontId="0" fillId="6" borderId="14" xfId="0" applyNumberFormat="1" applyFont="1" applyFill="1" applyBorder="1" applyAlignment="1">
      <alignment horizontal="right"/>
    </xf>
    <xf numFmtId="9" fontId="0" fillId="6" borderId="13" xfId="0" applyNumberFormat="1" applyFont="1" applyFill="1" applyBorder="1" applyAlignment="1">
      <alignment horizontal="right"/>
    </xf>
    <xf numFmtId="9" fontId="5" fillId="6" borderId="2" xfId="0" applyNumberFormat="1" applyFont="1" applyFill="1" applyBorder="1" applyAlignment="1">
      <alignment horizontal="right"/>
    </xf>
    <xf numFmtId="9" fontId="5" fillId="6" borderId="8" xfId="0" applyNumberFormat="1" applyFont="1" applyFill="1" applyBorder="1" applyAlignment="1">
      <alignment horizontal="right"/>
    </xf>
    <xf numFmtId="0" fontId="35" fillId="8" borderId="2" xfId="145" applyFont="1" applyFill="1" applyBorder="1" applyAlignment="1">
      <alignment horizontal="left" wrapText="1"/>
    </xf>
    <xf numFmtId="0" fontId="16" fillId="10" borderId="14" xfId="0" applyFont="1" applyFill="1" applyBorder="1" applyAlignment="1">
      <alignment horizontal="right"/>
    </xf>
    <xf numFmtId="0" fontId="0" fillId="6" borderId="13" xfId="0" applyNumberFormat="1" applyFont="1" applyFill="1" applyBorder="1" applyAlignment="1">
      <alignment horizontal="right"/>
    </xf>
    <xf numFmtId="0" fontId="9" fillId="0" borderId="14" xfId="0" applyFont="1" applyBorder="1" applyAlignment="1">
      <alignment horizontal="center" wrapText="1"/>
    </xf>
    <xf numFmtId="0" fontId="0" fillId="0" borderId="8" xfId="0" applyBorder="1"/>
    <xf numFmtId="9" fontId="0" fillId="2" borderId="13" xfId="0" applyNumberFormat="1" applyFont="1" applyFill="1" applyBorder="1" applyAlignment="1">
      <alignment horizontal="right" wrapText="1"/>
    </xf>
    <xf numFmtId="2" fontId="26" fillId="0" borderId="0" xfId="236" applyNumberFormat="1" applyFont="1"/>
    <xf numFmtId="2" fontId="26" fillId="0" borderId="15" xfId="236" applyNumberFormat="1" applyFont="1" applyBorder="1" applyAlignment="1">
      <alignment horizontal="right"/>
    </xf>
    <xf numFmtId="2" fontId="26" fillId="0" borderId="6" xfId="236" applyNumberFormat="1" applyFont="1" applyBorder="1"/>
    <xf numFmtId="2" fontId="26" fillId="0" borderId="15" xfId="236" applyNumberFormat="1" applyFont="1" applyBorder="1" applyAlignment="1">
      <alignment horizontal="right" vertical="center"/>
    </xf>
    <xf numFmtId="0" fontId="26" fillId="0" borderId="5" xfId="236" applyFont="1" applyBorder="1" applyAlignment="1">
      <alignment horizontal="center"/>
    </xf>
    <xf numFmtId="4" fontId="26" fillId="0" borderId="38" xfId="236" applyNumberFormat="1" applyFont="1" applyBorder="1"/>
    <xf numFmtId="4" fontId="26" fillId="0" borderId="13" xfId="236" applyNumberFormat="1" applyFont="1" applyBorder="1"/>
    <xf numFmtId="4" fontId="26" fillId="0" borderId="36" xfId="236" applyNumberFormat="1" applyFont="1" applyBorder="1"/>
    <xf numFmtId="4" fontId="26" fillId="0" borderId="39" xfId="236" applyNumberFormat="1" applyFont="1" applyBorder="1"/>
    <xf numFmtId="4" fontId="26" fillId="0" borderId="14" xfId="236" applyNumberFormat="1" applyFont="1" applyBorder="1"/>
    <xf numFmtId="4" fontId="26" fillId="0" borderId="37" xfId="236" applyNumberFormat="1" applyFont="1" applyBorder="1"/>
    <xf numFmtId="0" fontId="26" fillId="0" borderId="40" xfId="236" applyFont="1" applyBorder="1" applyAlignment="1">
      <alignment horizontal="center"/>
    </xf>
    <xf numFmtId="165" fontId="26" fillId="0" borderId="41" xfId="236" applyNumberFormat="1" applyFont="1" applyBorder="1"/>
    <xf numFmtId="165" fontId="26" fillId="0" borderId="13" xfId="236" applyNumberFormat="1" applyFont="1" applyBorder="1"/>
    <xf numFmtId="165" fontId="26" fillId="0" borderId="13" xfId="433" applyNumberFormat="1" applyFont="1" applyBorder="1"/>
    <xf numFmtId="165" fontId="26" fillId="0" borderId="36" xfId="433" applyNumberFormat="1" applyFont="1" applyBorder="1"/>
    <xf numFmtId="165" fontId="26" fillId="0" borderId="39" xfId="236" applyNumberFormat="1" applyFont="1" applyBorder="1"/>
    <xf numFmtId="165" fontId="26" fillId="0" borderId="14" xfId="236" applyNumberFormat="1" applyFont="1" applyBorder="1"/>
    <xf numFmtId="165" fontId="26" fillId="0" borderId="14" xfId="433" applyNumberFormat="1" applyFont="1" applyBorder="1"/>
    <xf numFmtId="165" fontId="26" fillId="0" borderId="37" xfId="433" applyNumberFormat="1" applyFont="1" applyBorder="1"/>
    <xf numFmtId="0" fontId="38" fillId="0" borderId="13" xfId="0" applyFont="1" applyBorder="1" applyAlignment="1">
      <alignment vertical="center"/>
    </xf>
    <xf numFmtId="0" fontId="38" fillId="0" borderId="13" xfId="0" applyFont="1" applyBorder="1" applyAlignment="1">
      <alignment horizontal="center" vertical="center"/>
    </xf>
    <xf numFmtId="0" fontId="38" fillId="0" borderId="13" xfId="0" applyFont="1" applyBorder="1" applyAlignment="1">
      <alignment horizontal="center" vertical="center" wrapText="1"/>
    </xf>
    <xf numFmtId="0" fontId="38" fillId="0" borderId="42" xfId="0" applyFont="1" applyFill="1" applyBorder="1" applyAlignment="1">
      <alignment horizontal="left" vertical="center"/>
    </xf>
    <xf numFmtId="2" fontId="38" fillId="0" borderId="13" xfId="0" applyNumberFormat="1" applyFont="1" applyBorder="1" applyAlignment="1">
      <alignment horizontal="center" vertical="center"/>
    </xf>
    <xf numFmtId="0" fontId="39" fillId="0" borderId="13" xfId="0" applyFont="1" applyBorder="1" applyAlignment="1">
      <alignment horizontal="right" vertical="center" wrapText="1"/>
    </xf>
    <xf numFmtId="0" fontId="39" fillId="0" borderId="13" xfId="0" applyFont="1" applyBorder="1" applyAlignment="1">
      <alignment vertical="center" wrapText="1"/>
    </xf>
    <xf numFmtId="2" fontId="38" fillId="0" borderId="13" xfId="0" applyNumberFormat="1" applyFont="1" applyBorder="1" applyAlignment="1">
      <alignment horizontal="center" vertical="center" wrapText="1"/>
    </xf>
    <xf numFmtId="0" fontId="40" fillId="0" borderId="13" xfId="0" applyFont="1" applyBorder="1" applyAlignment="1">
      <alignment horizontal="center" vertical="center"/>
    </xf>
    <xf numFmtId="0" fontId="40" fillId="0" borderId="13" xfId="0" applyFont="1" applyBorder="1" applyAlignment="1">
      <alignment horizontal="center" vertical="center" wrapText="1"/>
    </xf>
    <xf numFmtId="0" fontId="40" fillId="0" borderId="13" xfId="0" applyFont="1" applyBorder="1" applyAlignment="1">
      <alignment vertical="center"/>
    </xf>
    <xf numFmtId="0" fontId="41" fillId="0" borderId="13" xfId="0" applyFont="1" applyBorder="1" applyAlignment="1">
      <alignment horizontal="right" vertical="center" wrapText="1"/>
    </xf>
    <xf numFmtId="0" fontId="33" fillId="0" borderId="13" xfId="0" applyFont="1" applyBorder="1" applyAlignment="1">
      <alignment wrapText="1"/>
    </xf>
    <xf numFmtId="0" fontId="33" fillId="0" borderId="13" xfId="0" applyFont="1" applyBorder="1" applyAlignment="1">
      <alignment vertical="center" wrapText="1"/>
    </xf>
    <xf numFmtId="0" fontId="33" fillId="0" borderId="13" xfId="0" applyFont="1" applyFill="1" applyBorder="1" applyAlignment="1">
      <alignment vertical="center" wrapText="1"/>
    </xf>
    <xf numFmtId="0" fontId="34" fillId="0" borderId="13" xfId="0" applyFont="1" applyBorder="1"/>
    <xf numFmtId="0" fontId="34" fillId="0" borderId="13" xfId="0" applyFont="1" applyBorder="1" applyAlignment="1">
      <alignment vertical="center" wrapText="1"/>
    </xf>
    <xf numFmtId="0" fontId="33" fillId="0" borderId="13" xfId="0" applyFont="1" applyBorder="1"/>
    <xf numFmtId="0" fontId="43" fillId="0" borderId="13" xfId="0" applyFont="1" applyBorder="1"/>
    <xf numFmtId="0" fontId="42" fillId="0" borderId="13" xfId="0" applyFont="1" applyBorder="1" applyAlignment="1">
      <alignment horizontal="center"/>
    </xf>
    <xf numFmtId="9" fontId="43" fillId="0" borderId="13" xfId="457" applyFont="1" applyBorder="1" applyAlignment="1">
      <alignment horizontal="center"/>
    </xf>
    <xf numFmtId="0" fontId="40" fillId="0" borderId="13" xfId="0" applyFont="1" applyBorder="1" applyAlignment="1">
      <alignment horizontal="center"/>
    </xf>
    <xf numFmtId="0" fontId="40" fillId="0" borderId="13" xfId="0" applyFont="1" applyBorder="1" applyAlignment="1">
      <alignment horizontal="center" wrapText="1"/>
    </xf>
    <xf numFmtId="1" fontId="40" fillId="0" borderId="13" xfId="0" applyNumberFormat="1" applyFont="1" applyBorder="1" applyAlignment="1">
      <alignment horizontal="center"/>
    </xf>
    <xf numFmtId="1" fontId="40" fillId="0" borderId="13" xfId="0" applyNumberFormat="1" applyFont="1" applyBorder="1" applyAlignment="1">
      <alignment horizontal="center" wrapText="1"/>
    </xf>
    <xf numFmtId="166" fontId="40" fillId="0" borderId="13" xfId="0" applyNumberFormat="1" applyFont="1" applyBorder="1" applyAlignment="1">
      <alignment horizontal="center"/>
    </xf>
    <xf numFmtId="0" fontId="12" fillId="0" borderId="0" xfId="0" applyFont="1"/>
    <xf numFmtId="9" fontId="9" fillId="0" borderId="2" xfId="457" applyFont="1" applyFill="1" applyBorder="1" applyAlignment="1">
      <alignment horizontal="center"/>
    </xf>
    <xf numFmtId="9" fontId="0" fillId="0" borderId="13" xfId="0" applyNumberFormat="1" applyFont="1" applyFill="1" applyBorder="1" applyAlignment="1">
      <alignment horizontal="center"/>
    </xf>
    <xf numFmtId="9" fontId="0" fillId="0" borderId="15" xfId="0" applyNumberFormat="1" applyFont="1" applyFill="1" applyBorder="1" applyAlignment="1">
      <alignment horizontal="center"/>
    </xf>
    <xf numFmtId="9" fontId="0" fillId="0" borderId="2" xfId="0" applyNumberFormat="1" applyFont="1" applyFill="1" applyBorder="1" applyAlignment="1">
      <alignment horizontal="center"/>
    </xf>
    <xf numFmtId="9" fontId="0" fillId="0" borderId="15" xfId="0" applyNumberFormat="1" applyFill="1" applyBorder="1" applyAlignment="1">
      <alignment horizontal="center"/>
    </xf>
    <xf numFmtId="9" fontId="9" fillId="0" borderId="2" xfId="0" applyNumberFormat="1" applyFont="1" applyFill="1" applyBorder="1" applyAlignment="1">
      <alignment horizontal="center"/>
    </xf>
    <xf numFmtId="9" fontId="9" fillId="0" borderId="15" xfId="0" applyNumberFormat="1" applyFont="1" applyFill="1" applyBorder="1" applyAlignment="1">
      <alignment horizontal="center"/>
    </xf>
    <xf numFmtId="9" fontId="9" fillId="0" borderId="13" xfId="0" applyNumberFormat="1" applyFont="1" applyFill="1" applyBorder="1" applyAlignment="1">
      <alignment horizontal="center"/>
    </xf>
    <xf numFmtId="9" fontId="9" fillId="0" borderId="14" xfId="0" applyNumberFormat="1" applyFont="1" applyFill="1" applyBorder="1" applyAlignment="1">
      <alignment horizontal="center"/>
    </xf>
    <xf numFmtId="9" fontId="16" fillId="0" borderId="0" xfId="457" applyFont="1" applyFill="1" applyAlignment="1">
      <alignment horizontal="center"/>
    </xf>
    <xf numFmtId="1" fontId="38" fillId="0" borderId="13" xfId="0" applyNumberFormat="1" applyFont="1" applyBorder="1" applyAlignment="1">
      <alignment horizontal="center" vertical="center"/>
    </xf>
    <xf numFmtId="0" fontId="44" fillId="0" borderId="0" xfId="0" applyFont="1"/>
    <xf numFmtId="0" fontId="19" fillId="0" borderId="9" xfId="0" applyFont="1" applyBorder="1" applyAlignment="1">
      <alignment wrapText="1"/>
    </xf>
    <xf numFmtId="0" fontId="19" fillId="0" borderId="3" xfId="0" applyFont="1" applyFill="1" applyBorder="1" applyAlignment="1">
      <alignment wrapText="1"/>
    </xf>
    <xf numFmtId="0" fontId="19" fillId="0" borderId="2" xfId="0" applyFont="1" applyFill="1" applyBorder="1" applyAlignment="1">
      <alignment vertical="top" wrapText="1"/>
    </xf>
    <xf numFmtId="0" fontId="19" fillId="0" borderId="8" xfId="0" applyFont="1" applyBorder="1" applyAlignment="1">
      <alignment horizontal="left" vertical="top" wrapText="1"/>
    </xf>
    <xf numFmtId="0" fontId="19" fillId="0" borderId="14" xfId="0" applyFont="1" applyBorder="1" applyAlignment="1">
      <alignment vertical="top"/>
    </xf>
    <xf numFmtId="0" fontId="19" fillId="0" borderId="3" xfId="0" applyFont="1" applyBorder="1" applyAlignment="1">
      <alignment vertical="top"/>
    </xf>
    <xf numFmtId="0" fontId="11" fillId="0" borderId="31" xfId="0" applyNumberFormat="1" applyFont="1" applyBorder="1" applyAlignment="1">
      <alignment horizontal="center" wrapText="1"/>
    </xf>
    <xf numFmtId="0" fontId="0" fillId="0" borderId="15" xfId="0" applyNumberFormat="1" applyFont="1" applyBorder="1" applyAlignment="1">
      <alignment horizontal="center" wrapText="1"/>
    </xf>
    <xf numFmtId="0" fontId="9" fillId="0" borderId="13" xfId="0" applyNumberFormat="1" applyFont="1" applyBorder="1" applyAlignment="1">
      <alignment horizontal="center" wrapText="1"/>
    </xf>
    <xf numFmtId="0" fontId="0" fillId="0" borderId="8" xfId="0" applyFont="1" applyBorder="1" applyAlignment="1">
      <alignment vertical="center" wrapText="1"/>
    </xf>
    <xf numFmtId="0" fontId="0" fillId="0" borderId="24" xfId="0" applyFont="1" applyBorder="1" applyAlignment="1">
      <alignment vertical="center" wrapText="1"/>
    </xf>
    <xf numFmtId="0" fontId="0" fillId="0" borderId="14" xfId="0" applyFont="1" applyBorder="1" applyAlignment="1">
      <alignment vertical="center" wrapText="1"/>
    </xf>
    <xf numFmtId="0" fontId="9" fillId="0" borderId="13" xfId="0" applyNumberFormat="1" applyFont="1" applyFill="1" applyBorder="1" applyAlignment="1">
      <alignment horizontal="center" wrapText="1"/>
    </xf>
    <xf numFmtId="0" fontId="9" fillId="0" borderId="18" xfId="0" applyNumberFormat="1" applyFont="1" applyBorder="1" applyAlignment="1">
      <alignment horizontal="center" wrapText="1"/>
    </xf>
    <xf numFmtId="0" fontId="0" fillId="0" borderId="8" xfId="0" applyNumberFormat="1" applyFont="1" applyBorder="1" applyAlignment="1">
      <alignment horizontal="center" wrapText="1"/>
    </xf>
    <xf numFmtId="0" fontId="9" fillId="0" borderId="2" xfId="0" applyNumberFormat="1" applyFont="1" applyBorder="1" applyAlignment="1">
      <alignment horizontal="center" wrapText="1"/>
    </xf>
    <xf numFmtId="0" fontId="0" fillId="0" borderId="14" xfId="0" applyNumberFormat="1" applyFont="1" applyBorder="1" applyAlignment="1">
      <alignment horizontal="center" wrapText="1"/>
    </xf>
    <xf numFmtId="0" fontId="0" fillId="0" borderId="0" xfId="0" applyFont="1" applyAlignment="1">
      <alignment horizontal="center" wrapText="1"/>
    </xf>
    <xf numFmtId="0" fontId="11" fillId="0" borderId="2" xfId="0" applyFont="1" applyBorder="1" applyAlignment="1">
      <alignment horizontal="center"/>
    </xf>
    <xf numFmtId="0" fontId="35" fillId="0" borderId="22" xfId="0" applyFont="1" applyBorder="1" applyAlignment="1">
      <alignment horizontal="center" wrapText="1"/>
    </xf>
    <xf numFmtId="0" fontId="35" fillId="0" borderId="23" xfId="0" applyFont="1" applyBorder="1" applyAlignment="1">
      <alignment horizontal="center" wrapText="1"/>
    </xf>
    <xf numFmtId="0" fontId="18" fillId="0" borderId="20" xfId="0" applyFont="1" applyBorder="1" applyAlignment="1">
      <alignment horizontal="center" wrapText="1"/>
    </xf>
    <xf numFmtId="0" fontId="18" fillId="0" borderId="22" xfId="0" applyFont="1" applyBorder="1" applyAlignment="1">
      <alignment horizontal="center" wrapText="1"/>
    </xf>
    <xf numFmtId="0" fontId="35" fillId="0" borderId="20" xfId="0" applyFont="1" applyBorder="1" applyAlignment="1">
      <alignment horizontal="center" wrapText="1"/>
    </xf>
    <xf numFmtId="0" fontId="18" fillId="0" borderId="23" xfId="0" applyFont="1" applyBorder="1" applyAlignment="1">
      <alignment horizontal="center" wrapText="1"/>
    </xf>
    <xf numFmtId="0" fontId="18" fillId="0" borderId="0" xfId="0" applyFont="1" applyAlignment="1">
      <alignment horizontal="center" vertical="center" wrapText="1"/>
    </xf>
    <xf numFmtId="11" fontId="35" fillId="0" borderId="23" xfId="0" applyNumberFormat="1" applyFont="1" applyBorder="1" applyAlignment="1">
      <alignment horizontal="center" wrapText="1"/>
    </xf>
    <xf numFmtId="0" fontId="18" fillId="0" borderId="26" xfId="0" applyFont="1" applyBorder="1" applyAlignment="1">
      <alignment horizontal="center" wrapText="1"/>
    </xf>
    <xf numFmtId="165" fontId="29" fillId="0" borderId="0" xfId="570" applyNumberFormat="1" applyFont="1"/>
    <xf numFmtId="0" fontId="29" fillId="0" borderId="0" xfId="0" applyFont="1"/>
    <xf numFmtId="167" fontId="29" fillId="0" borderId="0" xfId="570" applyNumberFormat="1" applyFont="1"/>
    <xf numFmtId="10" fontId="29" fillId="0" borderId="0" xfId="0" applyNumberFormat="1" applyFont="1"/>
    <xf numFmtId="0" fontId="29" fillId="0" borderId="0" xfId="0" applyFont="1" applyAlignment="1">
      <alignment horizontal="left"/>
    </xf>
    <xf numFmtId="0" fontId="10" fillId="0" borderId="0" xfId="571" applyFont="1" applyFill="1" applyBorder="1"/>
    <xf numFmtId="0" fontId="10" fillId="0" borderId="0" xfId="571" applyFont="1" applyFill="1"/>
    <xf numFmtId="168" fontId="29" fillId="0" borderId="0" xfId="570" applyNumberFormat="1" applyFont="1"/>
    <xf numFmtId="164" fontId="29" fillId="0" borderId="0" xfId="570" applyNumberFormat="1" applyFont="1"/>
    <xf numFmtId="0" fontId="10" fillId="0" borderId="0" xfId="145" applyFont="1" applyFill="1" applyBorder="1"/>
    <xf numFmtId="0" fontId="10" fillId="0" borderId="0" xfId="145" applyFont="1" applyFill="1"/>
    <xf numFmtId="0" fontId="10" fillId="0" borderId="0" xfId="0" applyFont="1"/>
    <xf numFmtId="169" fontId="29" fillId="0" borderId="0" xfId="0" applyNumberFormat="1" applyFont="1"/>
    <xf numFmtId="0" fontId="10" fillId="0" borderId="0" xfId="571" applyFont="1"/>
    <xf numFmtId="1" fontId="29" fillId="0" borderId="0" xfId="570" applyNumberFormat="1" applyFont="1"/>
    <xf numFmtId="169" fontId="29" fillId="0" borderId="0" xfId="570" applyNumberFormat="1" applyFont="1"/>
    <xf numFmtId="0" fontId="29" fillId="0" borderId="0" xfId="0" applyFont="1" applyFill="1"/>
    <xf numFmtId="0" fontId="29" fillId="0" borderId="0" xfId="0" applyFont="1" applyAlignment="1">
      <alignment wrapText="1"/>
    </xf>
    <xf numFmtId="0" fontId="29" fillId="0" borderId="0" xfId="0" applyFont="1" applyBorder="1"/>
    <xf numFmtId="170" fontId="29" fillId="0" borderId="0" xfId="572" applyNumberFormat="1" applyFont="1" applyFill="1"/>
    <xf numFmtId="167" fontId="29" fillId="0" borderId="0" xfId="570" applyNumberFormat="1" applyFont="1" applyFill="1"/>
    <xf numFmtId="168" fontId="29" fillId="0" borderId="0" xfId="570" applyNumberFormat="1" applyFont="1" applyFill="1"/>
    <xf numFmtId="165" fontId="29" fillId="0" borderId="0" xfId="570" applyNumberFormat="1" applyFont="1" applyFill="1"/>
    <xf numFmtId="10" fontId="29" fillId="0" borderId="0" xfId="0" applyNumberFormat="1" applyFont="1" applyFill="1"/>
    <xf numFmtId="0" fontId="29" fillId="0" borderId="0" xfId="0" applyFont="1" applyBorder="1" applyAlignment="1">
      <alignment wrapText="1"/>
    </xf>
    <xf numFmtId="171" fontId="29" fillId="0" borderId="0" xfId="570" applyNumberFormat="1" applyFont="1"/>
    <xf numFmtId="167" fontId="29" fillId="0" borderId="0" xfId="570" applyNumberFormat="1" applyFont="1" applyAlignment="1"/>
    <xf numFmtId="172" fontId="29" fillId="0" borderId="0" xfId="570" applyNumberFormat="1" applyFont="1" applyAlignment="1"/>
    <xf numFmtId="1" fontId="29" fillId="0" borderId="0" xfId="570" applyNumberFormat="1" applyFont="1" applyAlignment="1">
      <alignment horizontal="right"/>
    </xf>
    <xf numFmtId="0" fontId="46" fillId="0" borderId="0" xfId="0" applyFont="1"/>
    <xf numFmtId="10" fontId="29" fillId="0" borderId="0" xfId="570" applyNumberFormat="1" applyFont="1" applyFill="1"/>
    <xf numFmtId="0" fontId="29" fillId="0" borderId="0" xfId="0" applyFont="1" applyFill="1" applyAlignment="1">
      <alignment horizontal="left"/>
    </xf>
    <xf numFmtId="0" fontId="29" fillId="0" borderId="0" xfId="0" applyFont="1" applyFill="1" applyAlignment="1">
      <alignment wrapText="1"/>
    </xf>
    <xf numFmtId="1" fontId="29" fillId="0" borderId="0" xfId="0" applyNumberFormat="1" applyFont="1" applyFill="1"/>
    <xf numFmtId="10" fontId="29" fillId="0" borderId="0" xfId="0" applyNumberFormat="1" applyFont="1" applyFill="1" applyAlignment="1"/>
    <xf numFmtId="168" fontId="29" fillId="11" borderId="0" xfId="570" applyNumberFormat="1" applyFont="1" applyFill="1"/>
    <xf numFmtId="167" fontId="29" fillId="11" borderId="0" xfId="570" applyNumberFormat="1" applyFont="1" applyFill="1"/>
    <xf numFmtId="164" fontId="29" fillId="11" borderId="0" xfId="570" applyNumberFormat="1" applyFont="1" applyFill="1"/>
    <xf numFmtId="10" fontId="46" fillId="0" borderId="0" xfId="0" applyNumberFormat="1" applyFont="1" applyFill="1" applyAlignment="1">
      <alignment horizontal="left" wrapText="1"/>
    </xf>
    <xf numFmtId="0" fontId="46" fillId="0" borderId="0" xfId="0" applyFont="1" applyFill="1" applyAlignment="1">
      <alignment horizontal="left" wrapText="1"/>
    </xf>
    <xf numFmtId="165" fontId="46" fillId="0" borderId="0" xfId="570" applyNumberFormat="1" applyFont="1" applyFill="1" applyAlignment="1">
      <alignment horizontal="left" wrapText="1"/>
    </xf>
    <xf numFmtId="0" fontId="10" fillId="11" borderId="0" xfId="0" applyFont="1" applyFill="1"/>
    <xf numFmtId="1" fontId="29" fillId="11" borderId="0" xfId="570" applyNumberFormat="1" applyFont="1" applyFill="1"/>
    <xf numFmtId="0" fontId="29" fillId="12" borderId="0" xfId="0" applyFont="1" applyFill="1"/>
    <xf numFmtId="10" fontId="29" fillId="13" borderId="0" xfId="0" applyNumberFormat="1" applyFont="1" applyFill="1"/>
    <xf numFmtId="165" fontId="29" fillId="12" borderId="0" xfId="570" applyNumberFormat="1" applyFont="1" applyFill="1"/>
    <xf numFmtId="168" fontId="29" fillId="12" borderId="0" xfId="570" applyNumberFormat="1" applyFont="1" applyFill="1"/>
    <xf numFmtId="168" fontId="30" fillId="12" borderId="0" xfId="0" applyNumberFormat="1" applyFont="1" applyFill="1"/>
    <xf numFmtId="165" fontId="10" fillId="12" borderId="0" xfId="570" applyNumberFormat="1" applyFont="1" applyFill="1"/>
    <xf numFmtId="0" fontId="29" fillId="0" borderId="0" xfId="570" applyNumberFormat="1" applyFont="1"/>
    <xf numFmtId="0" fontId="0" fillId="13" borderId="0" xfId="0" applyFill="1"/>
    <xf numFmtId="0" fontId="5" fillId="0" borderId="0" xfId="0" applyFont="1" applyBorder="1" applyAlignment="1">
      <alignment horizontal="center"/>
    </xf>
    <xf numFmtId="0" fontId="23" fillId="0" borderId="0" xfId="0" applyFont="1" applyBorder="1" applyAlignment="1">
      <alignment horizontal="center"/>
    </xf>
    <xf numFmtId="0" fontId="39" fillId="0" borderId="13" xfId="0" applyFont="1" applyBorder="1" applyAlignment="1">
      <alignment horizontal="center" vertical="center"/>
    </xf>
    <xf numFmtId="0" fontId="39" fillId="0" borderId="13" xfId="0" applyFont="1" applyBorder="1" applyAlignment="1">
      <alignment horizontal="center" vertical="center" wrapText="1"/>
    </xf>
    <xf numFmtId="0" fontId="38" fillId="0" borderId="40" xfId="0" applyFont="1" applyBorder="1" applyAlignment="1">
      <alignment horizontal="center" vertical="center" wrapText="1"/>
    </xf>
    <xf numFmtId="0" fontId="38" fillId="0" borderId="23" xfId="0" applyFont="1" applyBorder="1" applyAlignment="1">
      <alignment horizontal="center" vertical="center" wrapText="1"/>
    </xf>
    <xf numFmtId="9" fontId="38" fillId="0" borderId="13" xfId="457" applyFont="1" applyBorder="1" applyAlignment="1">
      <alignment horizontal="left" vertical="center" wrapText="1" indent="2"/>
    </xf>
    <xf numFmtId="0" fontId="41" fillId="0" borderId="40" xfId="0" applyFont="1" applyBorder="1" applyAlignment="1">
      <alignment horizontal="center" vertical="center" wrapText="1"/>
    </xf>
    <xf numFmtId="0" fontId="41" fillId="0" borderId="23" xfId="0" applyFont="1" applyBorder="1" applyAlignment="1">
      <alignment horizontal="center" vertical="center" wrapText="1"/>
    </xf>
    <xf numFmtId="0" fontId="28" fillId="0" borderId="32" xfId="236" applyFont="1" applyBorder="1" applyAlignment="1">
      <alignment horizontal="center"/>
    </xf>
    <xf numFmtId="0" fontId="28" fillId="0" borderId="31" xfId="236" applyFont="1" applyBorder="1" applyAlignment="1">
      <alignment horizontal="center"/>
    </xf>
    <xf numFmtId="0" fontId="28" fillId="0" borderId="30" xfId="236" applyFont="1" applyBorder="1" applyAlignment="1">
      <alignment horizontal="center"/>
    </xf>
    <xf numFmtId="0" fontId="28" fillId="0" borderId="1" xfId="236" applyFont="1" applyBorder="1" applyAlignment="1">
      <alignment horizontal="center"/>
    </xf>
    <xf numFmtId="0" fontId="28" fillId="0" borderId="2" xfId="236" applyFont="1" applyBorder="1" applyAlignment="1">
      <alignment horizontal="center"/>
    </xf>
    <xf numFmtId="0" fontId="28" fillId="0" borderId="3" xfId="236" applyFont="1" applyBorder="1" applyAlignment="1">
      <alignment horizontal="center"/>
    </xf>
    <xf numFmtId="0" fontId="28" fillId="0" borderId="27" xfId="236" applyFont="1" applyBorder="1" applyAlignment="1">
      <alignment horizontal="center" wrapText="1"/>
    </xf>
    <xf numFmtId="0" fontId="28" fillId="0" borderId="29" xfId="236" applyFont="1" applyBorder="1" applyAlignment="1">
      <alignment horizontal="center" wrapText="1"/>
    </xf>
  </cellXfs>
  <cellStyles count="582">
    <cellStyle name="Comma" xfId="433" builtinId="3"/>
    <cellStyle name="Comma 2" xfId="237"/>
    <cellStyle name="Comma 3" xfId="57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cellStyle name="Normal" xfId="0" builtinId="0"/>
    <cellStyle name="Normal 2" xfId="145"/>
    <cellStyle name="Normal 2 2" xfId="571"/>
    <cellStyle name="Normal 3" xfId="236"/>
    <cellStyle name="Percent" xfId="457" builtinId="5"/>
    <cellStyle name="Percent 2" xfId="572"/>
  </cellStyles>
  <dxfs count="0"/>
  <tableStyles count="0" defaultTableStyle="TableStyleMedium9" defaultPivotStyle="PivotStyleMedium4"/>
  <colors>
    <mruColors>
      <color rgb="FFFF0ED0"/>
      <color rgb="FF4FFF06"/>
    </mruColors>
  </colors>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0.0794583029166184"/>
          <c:y val="0.087425437774063"/>
          <c:w val="0.794870462200194"/>
          <c:h val="0.902153819320549"/>
        </c:manualLayout>
      </c:layout>
      <c:pie3DChart>
        <c:varyColors val="1"/>
        <c:ser>
          <c:idx val="0"/>
          <c:order val="0"/>
          <c:dPt>
            <c:idx val="0"/>
            <c:bubble3D val="0"/>
            <c:spPr>
              <a:solidFill>
                <a:srgbClr val="008000"/>
              </a:solidFill>
            </c:spPr>
          </c:dPt>
          <c:dPt>
            <c:idx val="1"/>
            <c:bubble3D val="0"/>
            <c:spPr>
              <a:pattFill prst="trellis">
                <a:fgClr>
                  <a:srgbClr val="008000"/>
                </a:fgClr>
                <a:bgClr>
                  <a:prstClr val="white"/>
                </a:bgClr>
              </a:pattFill>
            </c:spPr>
          </c:dPt>
          <c:dPt>
            <c:idx val="2"/>
            <c:bubble3D val="0"/>
            <c:spPr>
              <a:solidFill>
                <a:srgbClr val="4FFF06"/>
              </a:solidFill>
            </c:spPr>
          </c:dPt>
          <c:dPt>
            <c:idx val="3"/>
            <c:bubble3D val="0"/>
            <c:spPr>
              <a:solidFill>
                <a:srgbClr val="FFFF00"/>
              </a:solidFill>
            </c:spPr>
          </c:dPt>
          <c:dPt>
            <c:idx val="4"/>
            <c:bubble3D val="0"/>
            <c:spPr>
              <a:pattFill prst="plaid">
                <a:fgClr>
                  <a:srgbClr val="FFFF00"/>
                </a:fgClr>
                <a:bgClr>
                  <a:prstClr val="white"/>
                </a:bgClr>
              </a:pattFill>
              <a:ln w="25400">
                <a:solidFill>
                  <a:schemeClr val="tx1"/>
                </a:solidFill>
              </a:ln>
            </c:spPr>
          </c:dPt>
          <c:dPt>
            <c:idx val="5"/>
            <c:bubble3D val="0"/>
            <c:spPr>
              <a:pattFill prst="wdUpDiag">
                <a:fgClr>
                  <a:srgbClr val="FFFF00"/>
                </a:fgClr>
                <a:bgClr>
                  <a:schemeClr val="tx1"/>
                </a:bgClr>
              </a:pattFill>
            </c:spPr>
          </c:dPt>
          <c:dPt>
            <c:idx val="6"/>
            <c:bubble3D val="0"/>
            <c:spPr>
              <a:pattFill prst="wdUpDiag">
                <a:fgClr>
                  <a:srgbClr val="FF0000"/>
                </a:fgClr>
                <a:bgClr>
                  <a:schemeClr val="tx1"/>
                </a:bgClr>
              </a:pattFill>
              <a:ln>
                <a:solidFill>
                  <a:schemeClr val="tx1"/>
                </a:solidFill>
              </a:ln>
            </c:spPr>
          </c:dPt>
          <c:dPt>
            <c:idx val="7"/>
            <c:bubble3D val="0"/>
            <c:spPr>
              <a:solidFill>
                <a:srgbClr val="FF0000"/>
              </a:solidFill>
            </c:spPr>
          </c:dPt>
          <c:dPt>
            <c:idx val="8"/>
            <c:bubble3D val="0"/>
            <c:spPr>
              <a:pattFill prst="smGrid">
                <a:fgClr>
                  <a:schemeClr val="tx1"/>
                </a:fgClr>
                <a:bgClr>
                  <a:srgbClr val="FF0000"/>
                </a:bgClr>
              </a:pattFill>
            </c:spPr>
          </c:dPt>
          <c:dPt>
            <c:idx val="9"/>
            <c:bubble3D val="0"/>
            <c:explosion val="1"/>
            <c:spPr>
              <a:pattFill prst="smCheck">
                <a:fgClr>
                  <a:srgbClr val="FF0000"/>
                </a:fgClr>
                <a:bgClr>
                  <a:schemeClr val="bg1"/>
                </a:bgClr>
              </a:pattFill>
            </c:spPr>
          </c:dPt>
          <c:dPt>
            <c:idx val="10"/>
            <c:bubble3D val="0"/>
            <c:spPr>
              <a:solidFill>
                <a:srgbClr val="FF6600"/>
              </a:solidFill>
              <a:ln>
                <a:solidFill>
                  <a:srgbClr val="FF6600"/>
                </a:solidFill>
              </a:ln>
            </c:spPr>
          </c:dPt>
          <c:dLbls>
            <c:dLbl>
              <c:idx val="1"/>
              <c:layout>
                <c:manualLayout>
                  <c:x val="-0.0542157763723747"/>
                  <c:y val="-0.137653377050311"/>
                </c:manualLayout>
              </c:layout>
              <c:tx>
                <c:rich>
                  <a:bodyPr/>
                  <a:lstStyle/>
                  <a:p>
                    <a:r>
                      <a:rPr lang="en-US"/>
                      <a:t>Russia-A
&lt;1%</a:t>
                    </a:r>
                  </a:p>
                </c:rich>
              </c:tx>
              <c:showLegendKey val="0"/>
              <c:showVal val="0"/>
              <c:showCatName val="1"/>
              <c:showSerName val="0"/>
              <c:showPercent val="1"/>
              <c:showBubbleSize val="0"/>
            </c:dLbl>
            <c:dLbl>
              <c:idx val="2"/>
              <c:layout>
                <c:manualLayout>
                  <c:x val="0.0480353755253528"/>
                  <c:y val="-0.0384061149250952"/>
                </c:manualLayout>
              </c:layout>
              <c:tx>
                <c:rich>
                  <a:bodyPr/>
                  <a:lstStyle/>
                  <a:p>
                    <a:r>
                      <a:rPr lang="en-US"/>
                      <a:t>British Columbia-A
&lt;1%</a:t>
                    </a:r>
                  </a:p>
                </c:rich>
              </c:tx>
              <c:showLegendKey val="0"/>
              <c:showVal val="0"/>
              <c:showCatName val="1"/>
              <c:showSerName val="0"/>
              <c:showPercent val="1"/>
              <c:showBubbleSize val="0"/>
            </c:dLbl>
            <c:dLbl>
              <c:idx val="4"/>
              <c:layout>
                <c:manualLayout>
                  <c:x val="0.0202356793381323"/>
                  <c:y val="0.0103194791529239"/>
                </c:manualLayout>
              </c:layout>
              <c:showLegendKey val="0"/>
              <c:showVal val="0"/>
              <c:showCatName val="1"/>
              <c:showSerName val="0"/>
              <c:showPercent val="1"/>
              <c:showBubbleSize val="0"/>
            </c:dLbl>
            <c:dLbl>
              <c:idx val="5"/>
              <c:spPr/>
              <c:txPr>
                <a:bodyPr/>
                <a:lstStyle/>
                <a:p>
                  <a:pPr>
                    <a:defRPr sz="1500">
                      <a:solidFill>
                        <a:schemeClr val="bg1"/>
                      </a:solidFill>
                    </a:defRPr>
                  </a:pPr>
                  <a:endParaRPr lang="en-US"/>
                </a:p>
              </c:txPr>
              <c:showLegendKey val="0"/>
              <c:showVal val="0"/>
              <c:showCatName val="1"/>
              <c:showSerName val="0"/>
              <c:showPercent val="1"/>
              <c:showBubbleSize val="0"/>
            </c:dLbl>
            <c:dLbl>
              <c:idx val="6"/>
              <c:spPr/>
              <c:txPr>
                <a:bodyPr/>
                <a:lstStyle/>
                <a:p>
                  <a:pPr>
                    <a:defRPr sz="1500">
                      <a:solidFill>
                        <a:srgbClr val="FFFFFF"/>
                      </a:solidFill>
                    </a:defRPr>
                  </a:pPr>
                  <a:endParaRPr lang="en-US"/>
                </a:p>
              </c:txPr>
              <c:showLegendKey val="0"/>
              <c:showVal val="0"/>
              <c:showCatName val="1"/>
              <c:showSerName val="0"/>
              <c:showPercent val="1"/>
              <c:showBubbleSize val="0"/>
            </c:dLbl>
            <c:dLbl>
              <c:idx val="8"/>
              <c:spPr/>
              <c:txPr>
                <a:bodyPr/>
                <a:lstStyle/>
                <a:p>
                  <a:pPr>
                    <a:defRPr sz="1500">
                      <a:solidFill>
                        <a:schemeClr val="bg1"/>
                      </a:solidFill>
                    </a:defRPr>
                  </a:pPr>
                  <a:endParaRPr lang="en-US"/>
                </a:p>
              </c:txPr>
              <c:showLegendKey val="0"/>
              <c:showVal val="0"/>
              <c:showCatName val="1"/>
              <c:showSerName val="0"/>
              <c:showPercent val="1"/>
              <c:showBubbleSize val="0"/>
            </c:dLbl>
            <c:dLbl>
              <c:idx val="9"/>
              <c:layout>
                <c:manualLayout>
                  <c:x val="-0.10329467162154"/>
                  <c:y val="-0.0579182344712674"/>
                </c:manualLayout>
              </c:layout>
              <c:tx>
                <c:rich>
                  <a:bodyPr/>
                  <a:lstStyle/>
                  <a:p>
                    <a:r>
                      <a:rPr lang="en-US"/>
                      <a:t>British Columbia-C
&lt;1%</a:t>
                    </a:r>
                  </a:p>
                </c:rich>
              </c:tx>
              <c:showLegendKey val="0"/>
              <c:showVal val="0"/>
              <c:showCatName val="1"/>
              <c:showSerName val="0"/>
              <c:showPercent val="1"/>
              <c:showBubbleSize val="0"/>
            </c:dLbl>
            <c:dLbl>
              <c:idx val="10"/>
              <c:layout>
                <c:manualLayout>
                  <c:x val="0.0631651318530138"/>
                  <c:y val="-0.0477758870241522"/>
                </c:manualLayout>
              </c:layout>
              <c:tx>
                <c:rich>
                  <a:bodyPr/>
                  <a:lstStyle/>
                  <a:p>
                    <a:r>
                      <a:rPr lang="en-US"/>
                      <a:t>PNW-C
&lt;1%</a:t>
                    </a:r>
                  </a:p>
                </c:rich>
              </c:tx>
              <c:showLegendKey val="0"/>
              <c:showVal val="0"/>
              <c:showCatName val="1"/>
              <c:showSerName val="0"/>
              <c:showPercent val="1"/>
              <c:showBubbleSize val="0"/>
            </c:dLbl>
            <c:txPr>
              <a:bodyPr/>
              <a:lstStyle/>
              <a:p>
                <a:pPr>
                  <a:defRPr sz="1500"/>
                </a:pPr>
                <a:endParaRPr lang="en-US"/>
              </a:p>
            </c:txPr>
            <c:showLegendKey val="0"/>
            <c:showVal val="0"/>
            <c:showCatName val="1"/>
            <c:showSerName val="0"/>
            <c:showPercent val="1"/>
            <c:showBubbleSize val="0"/>
            <c:showLeaderLines val="1"/>
          </c:dLbls>
          <c:cat>
            <c:strRef>
              <c:f>'By Region'!$M$3:$M$13</c:f>
              <c:strCache>
                <c:ptCount val="11"/>
                <c:pt idx="0">
                  <c:v>Alaska-A</c:v>
                </c:pt>
                <c:pt idx="1">
                  <c:v>Russia-A</c:v>
                </c:pt>
                <c:pt idx="2">
                  <c:v>British Columbia-A</c:v>
                </c:pt>
                <c:pt idx="3">
                  <c:v>Alaska-B</c:v>
                </c:pt>
                <c:pt idx="4">
                  <c:v>British Columbia-B</c:v>
                </c:pt>
                <c:pt idx="5">
                  <c:v>Russia-B</c:v>
                </c:pt>
                <c:pt idx="6">
                  <c:v>Russia-C</c:v>
                </c:pt>
                <c:pt idx="7">
                  <c:v>Alaska-C</c:v>
                </c:pt>
                <c:pt idx="8">
                  <c:v>Japan-C</c:v>
                </c:pt>
                <c:pt idx="9">
                  <c:v>British Columbia-C</c:v>
                </c:pt>
                <c:pt idx="10">
                  <c:v>PNW-C</c:v>
                </c:pt>
              </c:strCache>
            </c:strRef>
          </c:cat>
          <c:val>
            <c:numRef>
              <c:f>'By Region'!$N$3:$N$13</c:f>
              <c:numCache>
                <c:formatCode>General</c:formatCode>
                <c:ptCount val="11"/>
                <c:pt idx="0" formatCode="0.00">
                  <c:v>177.25</c:v>
                </c:pt>
                <c:pt idx="1">
                  <c:v>0.1515</c:v>
                </c:pt>
                <c:pt idx="2" formatCode="0.00">
                  <c:v>0.805</c:v>
                </c:pt>
                <c:pt idx="3" formatCode="0.00">
                  <c:v>97.915</c:v>
                </c:pt>
                <c:pt idx="4">
                  <c:v>12.1975</c:v>
                </c:pt>
                <c:pt idx="5">
                  <c:v>202.0195</c:v>
                </c:pt>
                <c:pt idx="6">
                  <c:v>223.694</c:v>
                </c:pt>
                <c:pt idx="7">
                  <c:v>97.1095</c:v>
                </c:pt>
                <c:pt idx="8" formatCode="0.00">
                  <c:v>122.212</c:v>
                </c:pt>
                <c:pt idx="9">
                  <c:v>0.69</c:v>
                </c:pt>
                <c:pt idx="10" formatCode="0.00">
                  <c:v>2.435</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1.0" l="0.75" r="0.75" t="1.0"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Commercial Chum Salmon Harvests 1997-2013 (thousands of tonnes)</a:t>
            </a:r>
          </a:p>
        </c:rich>
      </c:tx>
      <c:layout>
        <c:manualLayout>
          <c:xMode val="edge"/>
          <c:yMode val="edge"/>
          <c:x val="0.0891673647177082"/>
          <c:y val="0.0"/>
        </c:manualLayout>
      </c:layout>
      <c:overlay val="0"/>
    </c:title>
    <c:autoTitleDeleted val="0"/>
    <c:plotArea>
      <c:layout>
        <c:manualLayout>
          <c:layoutTarget val="inner"/>
          <c:xMode val="edge"/>
          <c:yMode val="edge"/>
          <c:x val="0.0867241491507776"/>
          <c:y val="0.186096256684492"/>
          <c:w val="0.668838443066957"/>
          <c:h val="0.631907448734683"/>
        </c:manualLayout>
      </c:layout>
      <c:lineChart>
        <c:grouping val="standard"/>
        <c:varyColors val="0"/>
        <c:ser>
          <c:idx val="0"/>
          <c:order val="0"/>
          <c:tx>
            <c:v>Total</c:v>
          </c:tx>
          <c:marker>
            <c:symbol val="none"/>
          </c:marker>
          <c:cat>
            <c:numRef>
              <c:f>'Harvest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'Harvest trends'!$G$4:$G$20</c:f>
              <c:numCache>
                <c:formatCode>#,##0.00</c:formatCode>
                <c:ptCount val="17"/>
                <c:pt idx="0">
                  <c:v>339.768</c:v>
                </c:pt>
                <c:pt idx="1">
                  <c:v>320.53</c:v>
                </c:pt>
                <c:pt idx="2">
                  <c:v>277.537</c:v>
                </c:pt>
                <c:pt idx="3">
                  <c:v>274.8897490524459</c:v>
                </c:pt>
                <c:pt idx="4">
                  <c:v>306.051</c:v>
                </c:pt>
                <c:pt idx="5">
                  <c:v>328.431</c:v>
                </c:pt>
                <c:pt idx="6">
                  <c:v>373.5831000000001</c:v>
                </c:pt>
                <c:pt idx="7">
                  <c:v>357.7682</c:v>
                </c:pt>
                <c:pt idx="8">
                  <c:v>319.44</c:v>
                </c:pt>
                <c:pt idx="9">
                  <c:v>366.6315153921492</c:v>
                </c:pt>
                <c:pt idx="10">
                  <c:v>327.7786173612328</c:v>
                </c:pt>
                <c:pt idx="11">
                  <c:v>300.0507269056378</c:v>
                </c:pt>
                <c:pt idx="12">
                  <c:v>357.5132555746683</c:v>
                </c:pt>
                <c:pt idx="13">
                  <c:v>218.6898143636364</c:v>
                </c:pt>
                <c:pt idx="14">
                  <c:v>274.978</c:v>
                </c:pt>
                <c:pt idx="15">
                  <c:v>298.466</c:v>
                </c:pt>
                <c:pt idx="16">
                  <c:v>343.29</c:v>
                </c:pt>
              </c:numCache>
            </c:numRef>
          </c:val>
          <c:smooth val="0"/>
        </c:ser>
        <c:ser>
          <c:idx val="1"/>
          <c:order val="1"/>
          <c:tx>
            <c:v>Japan</c:v>
          </c:tx>
          <c:marker>
            <c:symbol val="none"/>
          </c:marker>
          <c:val>
            <c:numRef>
              <c:f>'Harvest trends'!$E$4:$E$20</c:f>
              <c:numCache>
                <c:formatCode>0.00</c:formatCode>
                <c:ptCount val="17"/>
                <c:pt idx="0">
                  <c:v>236.99</c:v>
                </c:pt>
                <c:pt idx="1">
                  <c:v>178.14</c:v>
                </c:pt>
                <c:pt idx="2">
                  <c:v>157.91</c:v>
                </c:pt>
                <c:pt idx="3">
                  <c:v>139.62</c:v>
                </c:pt>
                <c:pt idx="4">
                  <c:v>199.22</c:v>
                </c:pt>
                <c:pt idx="5">
                  <c:v>193.45</c:v>
                </c:pt>
                <c:pt idx="6">
                  <c:v>257.22</c:v>
                </c:pt>
                <c:pt idx="7">
                  <c:v>240.11</c:v>
                </c:pt>
                <c:pt idx="8">
                  <c:v>221.92</c:v>
                </c:pt>
                <c:pt idx="9">
                  <c:v>209.85</c:v>
                </c:pt>
                <c:pt idx="10">
                  <c:v>197.96</c:v>
                </c:pt>
                <c:pt idx="11">
                  <c:v>161.03</c:v>
                </c:pt>
                <c:pt idx="12">
                  <c:v>199.43</c:v>
                </c:pt>
                <c:pt idx="13">
                  <c:v>65.07340718181818</c:v>
                </c:pt>
                <c:pt idx="14">
                  <c:v>131.35</c:v>
                </c:pt>
                <c:pt idx="15">
                  <c:v>122.466</c:v>
                </c:pt>
                <c:pt idx="16">
                  <c:v>155.84</c:v>
                </c:pt>
              </c:numCache>
            </c:numRef>
          </c:val>
          <c:smooth val="0"/>
        </c:ser>
        <c:ser>
          <c:idx val="2"/>
          <c:order val="2"/>
          <c:tx>
            <c:v>Russia</c:v>
          </c:tx>
          <c:marker>
            <c:symbol val="none"/>
          </c:marker>
          <c:val>
            <c:numRef>
              <c:f>'Harvest trends'!$F$4:$F$20</c:f>
              <c:numCache>
                <c:formatCode>0.00</c:formatCode>
                <c:ptCount val="17"/>
                <c:pt idx="0">
                  <c:v>28.088</c:v>
                </c:pt>
                <c:pt idx="1">
                  <c:v>45.041</c:v>
                </c:pt>
                <c:pt idx="2">
                  <c:v>28.63</c:v>
                </c:pt>
                <c:pt idx="3">
                  <c:v>33.621</c:v>
                </c:pt>
                <c:pt idx="4">
                  <c:v>35.499</c:v>
                </c:pt>
                <c:pt idx="5">
                  <c:v>50.303</c:v>
                </c:pt>
                <c:pt idx="6">
                  <c:v>45.812</c:v>
                </c:pt>
                <c:pt idx="7">
                  <c:v>44.46</c:v>
                </c:pt>
                <c:pt idx="8">
                  <c:v>43.461</c:v>
                </c:pt>
                <c:pt idx="9">
                  <c:v>61.61525769607459</c:v>
                </c:pt>
                <c:pt idx="10">
                  <c:v>62.44080868061641</c:v>
                </c:pt>
                <c:pt idx="11">
                  <c:v>67.8363634528189</c:v>
                </c:pt>
                <c:pt idx="12">
                  <c:v>93.793</c:v>
                </c:pt>
                <c:pt idx="13">
                  <c:v>88.543</c:v>
                </c:pt>
                <c:pt idx="14">
                  <c:v>78.07</c:v>
                </c:pt>
                <c:pt idx="15" formatCode="General">
                  <c:v>97.9</c:v>
                </c:pt>
                <c:pt idx="16" formatCode="General">
                  <c:v>101.395</c:v>
                </c:pt>
              </c:numCache>
            </c:numRef>
          </c:val>
          <c:smooth val="0"/>
        </c:ser>
        <c:ser>
          <c:idx val="3"/>
          <c:order val="3"/>
          <c:tx>
            <c:v>Alaska</c:v>
          </c:tx>
          <c:marker>
            <c:symbol val="none"/>
          </c:marker>
          <c:val>
            <c:numRef>
              <c:f>'Harvest trends'!$B$4:$B$20</c:f>
              <c:numCache>
                <c:formatCode>#,##0.00</c:formatCode>
                <c:ptCount val="17"/>
                <c:pt idx="0">
                  <c:v>64.1241</c:v>
                </c:pt>
                <c:pt idx="1">
                  <c:v>74.4951</c:v>
                </c:pt>
                <c:pt idx="2">
                  <c:v>84.821</c:v>
                </c:pt>
                <c:pt idx="3">
                  <c:v>98.139</c:v>
                </c:pt>
                <c:pt idx="4">
                  <c:v>58.805</c:v>
                </c:pt>
                <c:pt idx="5">
                  <c:v>63.429</c:v>
                </c:pt>
                <c:pt idx="6">
                  <c:v>56.8151</c:v>
                </c:pt>
                <c:pt idx="7">
                  <c:v>58.8962</c:v>
                </c:pt>
                <c:pt idx="8">
                  <c:v>43.535</c:v>
                </c:pt>
                <c:pt idx="9">
                  <c:v>82.52</c:v>
                </c:pt>
                <c:pt idx="10">
                  <c:v>59.209</c:v>
                </c:pt>
                <c:pt idx="11">
                  <c:v>67.051</c:v>
                </c:pt>
                <c:pt idx="12">
                  <c:v>59.406</c:v>
                </c:pt>
                <c:pt idx="13">
                  <c:v>63.728</c:v>
                </c:pt>
                <c:pt idx="14">
                  <c:v>56.958</c:v>
                </c:pt>
                <c:pt idx="15" formatCode="General">
                  <c:v>69.3</c:v>
                </c:pt>
                <c:pt idx="16" formatCode="General">
                  <c:v>72.94</c:v>
                </c:pt>
              </c:numCache>
            </c:numRef>
          </c:val>
          <c:smooth val="0"/>
        </c:ser>
        <c:ser>
          <c:idx val="4"/>
          <c:order val="4"/>
          <c:tx>
            <c:v>B.C.</c:v>
          </c:tx>
          <c:marker>
            <c:symbol val="none"/>
          </c:marker>
          <c:val>
            <c:numRef>
              <c:f>'Harvest trends'!$C$4:$C$20</c:f>
              <c:numCache>
                <c:formatCode>0.00</c:formatCode>
                <c:ptCount val="17"/>
                <c:pt idx="0">
                  <c:v>8.656</c:v>
                </c:pt>
                <c:pt idx="1">
                  <c:v>19.906</c:v>
                </c:pt>
                <c:pt idx="2">
                  <c:v>4.994</c:v>
                </c:pt>
                <c:pt idx="3">
                  <c:v>2.848</c:v>
                </c:pt>
                <c:pt idx="4">
                  <c:v>5.85</c:v>
                </c:pt>
                <c:pt idx="5">
                  <c:v>12.305</c:v>
                </c:pt>
                <c:pt idx="6">
                  <c:v>13.736</c:v>
                </c:pt>
                <c:pt idx="7">
                  <c:v>14.302</c:v>
                </c:pt>
                <c:pt idx="8">
                  <c:v>10.524</c:v>
                </c:pt>
                <c:pt idx="9">
                  <c:v>9.305</c:v>
                </c:pt>
                <c:pt idx="10">
                  <c:v>5.316</c:v>
                </c:pt>
                <c:pt idx="11">
                  <c:v>2.253</c:v>
                </c:pt>
                <c:pt idx="12">
                  <c:v>3.701</c:v>
                </c:pt>
                <c:pt idx="13">
                  <c:v>0.541678</c:v>
                </c:pt>
                <c:pt idx="14">
                  <c:v>4.76</c:v>
                </c:pt>
                <c:pt idx="15" formatCode="General">
                  <c:v>4.05</c:v>
                </c:pt>
                <c:pt idx="16">
                  <c:v>6.415</c:v>
                </c:pt>
              </c:numCache>
            </c:numRef>
          </c:val>
          <c:smooth val="0"/>
        </c:ser>
        <c:ser>
          <c:idx val="5"/>
          <c:order val="5"/>
          <c:tx>
            <c:v>PNW</c:v>
          </c:tx>
          <c:marker>
            <c:symbol val="none"/>
          </c:marker>
          <c:val>
            <c:numRef>
              <c:f>'Harvest trends'!$D$4:$D$20</c:f>
              <c:numCache>
                <c:formatCode>0.00</c:formatCode>
                <c:ptCount val="17"/>
                <c:pt idx="0">
                  <c:v>1.909900000000007</c:v>
                </c:pt>
                <c:pt idx="1">
                  <c:v>2.94789999999999</c:v>
                </c:pt>
                <c:pt idx="2">
                  <c:v>1.182000000000002</c:v>
                </c:pt>
                <c:pt idx="3">
                  <c:v>0.661749052445972</c:v>
                </c:pt>
                <c:pt idx="4">
                  <c:v>6.677</c:v>
                </c:pt>
                <c:pt idx="5">
                  <c:v>8.944000000000003</c:v>
                </c:pt>
                <c:pt idx="6">
                  <c:v>0.0</c:v>
                </c:pt>
                <c:pt idx="7">
                  <c:v>0.0</c:v>
                </c:pt>
                <c:pt idx="8">
                  <c:v>0.0</c:v>
                </c:pt>
                <c:pt idx="9">
                  <c:v>3.341257696074588</c:v>
                </c:pt>
                <c:pt idx="10">
                  <c:v>2.852808680616408</c:v>
                </c:pt>
                <c:pt idx="11">
                  <c:v>1.880363452818893</c:v>
                </c:pt>
                <c:pt idx="12">
                  <c:v>1.183255574668328</c:v>
                </c:pt>
                <c:pt idx="13">
                  <c:v>0.803729181818182</c:v>
                </c:pt>
                <c:pt idx="14" formatCode="General">
                  <c:v>3.84</c:v>
                </c:pt>
                <c:pt idx="15" formatCode="General">
                  <c:v>4.75</c:v>
                </c:pt>
                <c:pt idx="16" formatCode="General">
                  <c:v>6.7</c:v>
                </c:pt>
              </c:numCache>
            </c:numRef>
          </c:val>
          <c:smooth val="0"/>
        </c:ser>
        <c:dLbls>
          <c:showLegendKey val="0"/>
          <c:showVal val="0"/>
          <c:showCatName val="0"/>
          <c:showSerName val="0"/>
          <c:showPercent val="0"/>
          <c:showBubbleSize val="0"/>
        </c:dLbls>
        <c:marker val="1"/>
        <c:smooth val="0"/>
        <c:axId val="2100460968"/>
        <c:axId val="2101596776"/>
      </c:lineChart>
      <c:catAx>
        <c:axId val="2100460968"/>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2101596776"/>
        <c:crosses val="autoZero"/>
        <c:auto val="1"/>
        <c:lblAlgn val="ctr"/>
        <c:lblOffset val="100"/>
        <c:noMultiLvlLbl val="0"/>
      </c:catAx>
      <c:valAx>
        <c:axId val="2101596776"/>
        <c:scaling>
          <c:orientation val="minMax"/>
        </c:scaling>
        <c:delete val="0"/>
        <c:axPos val="l"/>
        <c:majorGridlines/>
        <c:numFmt formatCode="#,##0" sourceLinked="0"/>
        <c:majorTickMark val="out"/>
        <c:minorTickMark val="none"/>
        <c:tickLblPos val="nextTo"/>
        <c:crossAx val="2100460968"/>
        <c:crosses val="autoZero"/>
        <c:crossBetween val="between"/>
      </c:valAx>
    </c:plotArea>
    <c:legend>
      <c:legendPos val="r"/>
      <c:layout>
        <c:manualLayout>
          <c:xMode val="edge"/>
          <c:yMode val="edge"/>
          <c:x val="0.779627799184676"/>
          <c:y val="0.198891321739863"/>
          <c:w val="0.196830848271626"/>
          <c:h val="0.605462124721041"/>
        </c:manualLayout>
      </c:layout>
      <c:overlay val="0"/>
    </c:legend>
    <c:plotVisOnly val="1"/>
    <c:dispBlanksAs val="gap"/>
    <c:showDLblsOverMax val="0"/>
  </c:chart>
  <c:txPr>
    <a:bodyPr/>
    <a:lstStyle/>
    <a:p>
      <a:pPr>
        <a:defRPr sz="9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Commercial Pink Salmon Harvests 1997-2013 (thousands of tonnes)</a:t>
            </a:r>
          </a:p>
        </c:rich>
      </c:tx>
      <c:layout>
        <c:manualLayout>
          <c:xMode val="edge"/>
          <c:yMode val="edge"/>
          <c:x val="0.0891673647177082"/>
          <c:y val="0.0"/>
        </c:manualLayout>
      </c:layout>
      <c:overlay val="0"/>
    </c:title>
    <c:autoTitleDeleted val="0"/>
    <c:plotArea>
      <c:layout>
        <c:manualLayout>
          <c:layoutTarget val="inner"/>
          <c:xMode val="edge"/>
          <c:yMode val="edge"/>
          <c:x val="0.0867241491507776"/>
          <c:y val="0.186096256684492"/>
          <c:w val="0.697207237393198"/>
          <c:h val="0.631907448734683"/>
        </c:manualLayout>
      </c:layout>
      <c:lineChart>
        <c:grouping val="standard"/>
        <c:varyColors val="0"/>
        <c:ser>
          <c:idx val="0"/>
          <c:order val="0"/>
          <c:tx>
            <c:v>Total</c:v>
          </c:tx>
          <c:marker>
            <c:symbol val="none"/>
          </c:marker>
          <c:cat>
            <c:numRef>
              <c:f>'Harvest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'Harvest trends'!$L$4:$L$20</c:f>
              <c:numCache>
                <c:formatCode>0.00</c:formatCode>
                <c:ptCount val="17"/>
                <c:pt idx="0">
                  <c:v>335.1104</c:v>
                </c:pt>
                <c:pt idx="1">
                  <c:v>389.5927</c:v>
                </c:pt>
                <c:pt idx="2">
                  <c:v>408.84</c:v>
                </c:pt>
                <c:pt idx="3">
                  <c:v>293.7</c:v>
                </c:pt>
                <c:pt idx="4">
                  <c:v>385.504</c:v>
                </c:pt>
                <c:pt idx="5">
                  <c:v>216.8309</c:v>
                </c:pt>
                <c:pt idx="6">
                  <c:v>419.1608</c:v>
                </c:pt>
                <c:pt idx="7">
                  <c:v>293.5889</c:v>
                </c:pt>
                <c:pt idx="8">
                  <c:v>486.554</c:v>
                </c:pt>
                <c:pt idx="9">
                  <c:v>334.139</c:v>
                </c:pt>
                <c:pt idx="10">
                  <c:v>524.404</c:v>
                </c:pt>
                <c:pt idx="11">
                  <c:v>309.7324</c:v>
                </c:pt>
                <c:pt idx="12">
                  <c:v>600.439</c:v>
                </c:pt>
                <c:pt idx="13">
                  <c:v>398.053724</c:v>
                </c:pt>
                <c:pt idx="14">
                  <c:v>584.308252</c:v>
                </c:pt>
                <c:pt idx="15">
                  <c:v>409.621</c:v>
                </c:pt>
                <c:pt idx="16">
                  <c:v>577.537</c:v>
                </c:pt>
              </c:numCache>
            </c:numRef>
          </c:val>
          <c:smooth val="0"/>
        </c:ser>
        <c:ser>
          <c:idx val="3"/>
          <c:order val="1"/>
          <c:tx>
            <c:v>Alaska</c:v>
          </c:tx>
          <c:marker>
            <c:symbol val="none"/>
          </c:marker>
          <c:val>
            <c:numRef>
              <c:f>'Harvest trends'!$H$4:$H$20</c:f>
              <c:numCache>
                <c:formatCode>0.00</c:formatCode>
                <c:ptCount val="17"/>
                <c:pt idx="0">
                  <c:v>119.8934</c:v>
                </c:pt>
                <c:pt idx="1">
                  <c:v>170.3317</c:v>
                </c:pt>
                <c:pt idx="2">
                  <c:v>195.963</c:v>
                </c:pt>
                <c:pt idx="3">
                  <c:v>114.13</c:v>
                </c:pt>
                <c:pt idx="4">
                  <c:v>194.36</c:v>
                </c:pt>
                <c:pt idx="5">
                  <c:v>136.2739</c:v>
                </c:pt>
                <c:pt idx="6">
                  <c:v>201.9228</c:v>
                </c:pt>
                <c:pt idx="7">
                  <c:v>164.3829</c:v>
                </c:pt>
                <c:pt idx="8">
                  <c:v>252.246</c:v>
                </c:pt>
                <c:pt idx="9">
                  <c:v>122.298</c:v>
                </c:pt>
                <c:pt idx="10">
                  <c:v>228.991</c:v>
                </c:pt>
                <c:pt idx="11">
                  <c:v>132.957</c:v>
                </c:pt>
                <c:pt idx="12">
                  <c:v>140.212</c:v>
                </c:pt>
                <c:pt idx="13">
                  <c:v>182.472</c:v>
                </c:pt>
                <c:pt idx="14" formatCode="#,##0.00">
                  <c:v>179.34</c:v>
                </c:pt>
                <c:pt idx="15" formatCode="General">
                  <c:v>110.6</c:v>
                </c:pt>
                <c:pt idx="16" formatCode="General">
                  <c:v>310.241</c:v>
                </c:pt>
              </c:numCache>
            </c:numRef>
          </c:val>
          <c:smooth val="0"/>
        </c:ser>
        <c:ser>
          <c:idx val="2"/>
          <c:order val="2"/>
          <c:tx>
            <c:v>Russia</c:v>
          </c:tx>
          <c:marker>
            <c:symbol val="none"/>
          </c:marker>
          <c:val>
            <c:numRef>
              <c:f>'Harvest trends'!$K$4:$K$20</c:f>
              <c:numCache>
                <c:formatCode>0.00</c:formatCode>
                <c:ptCount val="17"/>
                <c:pt idx="0">
                  <c:v>190.246</c:v>
                </c:pt>
                <c:pt idx="1">
                  <c:v>193.013</c:v>
                </c:pt>
                <c:pt idx="2">
                  <c:v>188.536</c:v>
                </c:pt>
                <c:pt idx="3">
                  <c:v>148.553</c:v>
                </c:pt>
                <c:pt idx="4">
                  <c:v>171.17</c:v>
                </c:pt>
                <c:pt idx="5">
                  <c:v>48.992</c:v>
                </c:pt>
                <c:pt idx="6">
                  <c:v>180.219</c:v>
                </c:pt>
                <c:pt idx="7">
                  <c:v>113.54</c:v>
                </c:pt>
                <c:pt idx="8">
                  <c:v>205.836</c:v>
                </c:pt>
                <c:pt idx="9">
                  <c:v>199.58</c:v>
                </c:pt>
                <c:pt idx="10">
                  <c:v>259.829</c:v>
                </c:pt>
                <c:pt idx="11">
                  <c:v>165.0234</c:v>
                </c:pt>
                <c:pt idx="12">
                  <c:v>424.978</c:v>
                </c:pt>
                <c:pt idx="13">
                  <c:v>201.446</c:v>
                </c:pt>
                <c:pt idx="14">
                  <c:v>386.76</c:v>
                </c:pt>
                <c:pt idx="15">
                  <c:v>292.878</c:v>
                </c:pt>
                <c:pt idx="16">
                  <c:v>241.421</c:v>
                </c:pt>
              </c:numCache>
            </c:numRef>
          </c:val>
          <c:smooth val="0"/>
        </c:ser>
        <c:ser>
          <c:idx val="1"/>
          <c:order val="3"/>
          <c:tx>
            <c:v>Japan</c:v>
          </c:tx>
          <c:marker>
            <c:symbol val="none"/>
          </c:marker>
          <c:val>
            <c:numRef>
              <c:f>'Harvest trends'!$J$4:$J$20</c:f>
              <c:numCache>
                <c:formatCode>0.00</c:formatCode>
                <c:ptCount val="17"/>
                <c:pt idx="0">
                  <c:v>13.041</c:v>
                </c:pt>
                <c:pt idx="1">
                  <c:v>22.328</c:v>
                </c:pt>
                <c:pt idx="2">
                  <c:v>14.821</c:v>
                </c:pt>
                <c:pt idx="3">
                  <c:v>23.797</c:v>
                </c:pt>
                <c:pt idx="4">
                  <c:v>9.004</c:v>
                </c:pt>
                <c:pt idx="5">
                  <c:v>22.955</c:v>
                </c:pt>
                <c:pt idx="6">
                  <c:v>21.559</c:v>
                </c:pt>
                <c:pt idx="7">
                  <c:v>12.086</c:v>
                </c:pt>
                <c:pt idx="8">
                  <c:v>15.882</c:v>
                </c:pt>
                <c:pt idx="9">
                  <c:v>10.791</c:v>
                </c:pt>
                <c:pt idx="10">
                  <c:v>23.034</c:v>
                </c:pt>
                <c:pt idx="11">
                  <c:v>11.322</c:v>
                </c:pt>
                <c:pt idx="12">
                  <c:v>16.439</c:v>
                </c:pt>
                <c:pt idx="13">
                  <c:v>12.863</c:v>
                </c:pt>
                <c:pt idx="14">
                  <c:v>9.268000000000001</c:v>
                </c:pt>
                <c:pt idx="15">
                  <c:v>4.912</c:v>
                </c:pt>
                <c:pt idx="16">
                  <c:v>7.31</c:v>
                </c:pt>
              </c:numCache>
            </c:numRef>
          </c:val>
          <c:smooth val="0"/>
        </c:ser>
        <c:ser>
          <c:idx val="4"/>
          <c:order val="4"/>
          <c:tx>
            <c:v>B.C.</c:v>
          </c:tx>
          <c:marker>
            <c:symbol val="none"/>
          </c:marker>
          <c:val>
            <c:numRef>
              <c:f>'Harvest trends'!$I$4:$I$20</c:f>
              <c:numCache>
                <c:formatCode>General</c:formatCode>
                <c:ptCount val="17"/>
                <c:pt idx="0">
                  <c:v>11.93</c:v>
                </c:pt>
                <c:pt idx="1">
                  <c:v>3.92</c:v>
                </c:pt>
                <c:pt idx="2">
                  <c:v>9.52</c:v>
                </c:pt>
                <c:pt idx="3">
                  <c:v>7.22</c:v>
                </c:pt>
                <c:pt idx="4">
                  <c:v>10.97</c:v>
                </c:pt>
                <c:pt idx="5">
                  <c:v>8.61</c:v>
                </c:pt>
                <c:pt idx="6">
                  <c:v>15.46</c:v>
                </c:pt>
                <c:pt idx="7">
                  <c:v>3.58</c:v>
                </c:pt>
                <c:pt idx="8">
                  <c:v>12.59</c:v>
                </c:pt>
                <c:pt idx="9">
                  <c:v>1.47</c:v>
                </c:pt>
                <c:pt idx="10">
                  <c:v>12.55</c:v>
                </c:pt>
                <c:pt idx="11">
                  <c:v>0.43</c:v>
                </c:pt>
                <c:pt idx="12">
                  <c:v>18.81</c:v>
                </c:pt>
                <c:pt idx="13" formatCode="0.00">
                  <c:v>1.272724</c:v>
                </c:pt>
                <c:pt idx="14" formatCode="0.00">
                  <c:v>8.940252</c:v>
                </c:pt>
                <c:pt idx="15" formatCode="0.00">
                  <c:v>1.231</c:v>
                </c:pt>
                <c:pt idx="16" formatCode="0.00">
                  <c:v>18.565</c:v>
                </c:pt>
              </c:numCache>
            </c:numRef>
          </c:val>
          <c:smooth val="0"/>
        </c:ser>
        <c:dLbls>
          <c:showLegendKey val="0"/>
          <c:showVal val="0"/>
          <c:showCatName val="0"/>
          <c:showSerName val="0"/>
          <c:showPercent val="0"/>
          <c:showBubbleSize val="0"/>
        </c:dLbls>
        <c:marker val="1"/>
        <c:smooth val="0"/>
        <c:axId val="2101639704"/>
        <c:axId val="2101642856"/>
      </c:lineChart>
      <c:catAx>
        <c:axId val="2101639704"/>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2101642856"/>
        <c:crosses val="autoZero"/>
        <c:auto val="1"/>
        <c:lblAlgn val="ctr"/>
        <c:lblOffset val="100"/>
        <c:noMultiLvlLbl val="0"/>
      </c:catAx>
      <c:valAx>
        <c:axId val="2101642856"/>
        <c:scaling>
          <c:orientation val="minMax"/>
        </c:scaling>
        <c:delete val="0"/>
        <c:axPos val="l"/>
        <c:majorGridlines/>
        <c:numFmt formatCode="#,##0" sourceLinked="0"/>
        <c:majorTickMark val="out"/>
        <c:minorTickMark val="none"/>
        <c:tickLblPos val="nextTo"/>
        <c:crossAx val="2101639704"/>
        <c:crosses val="autoZero"/>
        <c:crossBetween val="between"/>
      </c:valAx>
    </c:plotArea>
    <c:legend>
      <c:legendPos val="r"/>
      <c:layout>
        <c:manualLayout>
          <c:xMode val="edge"/>
          <c:yMode val="edge"/>
          <c:x val="0.783173898475456"/>
          <c:y val="0.198891321739863"/>
          <c:w val="0.196830848271626"/>
          <c:h val="0.605462124721041"/>
        </c:manualLayout>
      </c:layout>
      <c:overlay val="0"/>
    </c:legend>
    <c:plotVisOnly val="1"/>
    <c:dispBlanksAs val="gap"/>
    <c:showDLblsOverMax val="0"/>
  </c:chart>
  <c:txPr>
    <a:bodyPr/>
    <a:lstStyle/>
    <a:p>
      <a:pPr>
        <a:defRPr sz="9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Commercial Coho Salmon Harvests 1997-2013 (thousands of tonnes)</a:t>
            </a:r>
          </a:p>
        </c:rich>
      </c:tx>
      <c:layout>
        <c:manualLayout>
          <c:xMode val="edge"/>
          <c:yMode val="edge"/>
          <c:x val="0.0891673647177082"/>
          <c:y val="0.0"/>
        </c:manualLayout>
      </c:layout>
      <c:overlay val="0"/>
    </c:title>
    <c:autoTitleDeleted val="0"/>
    <c:plotArea>
      <c:layout>
        <c:manualLayout>
          <c:layoutTarget val="inner"/>
          <c:xMode val="edge"/>
          <c:yMode val="edge"/>
          <c:x val="0.0867241491507776"/>
          <c:y val="0.186096256684492"/>
          <c:w val="0.668838443066957"/>
          <c:h val="0.631907448734683"/>
        </c:manualLayout>
      </c:layout>
      <c:lineChart>
        <c:grouping val="standard"/>
        <c:varyColors val="0"/>
        <c:ser>
          <c:idx val="0"/>
          <c:order val="0"/>
          <c:tx>
            <c:v>Total</c:v>
          </c:tx>
          <c:marker>
            <c:symbol val="none"/>
          </c:marker>
          <c:cat>
            <c:numRef>
              <c:f>'Harvest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'Harvest trends'!$Q$4:$Q$20</c:f>
              <c:numCache>
                <c:formatCode>#,##0.00</c:formatCode>
                <c:ptCount val="17"/>
                <c:pt idx="0">
                  <c:v>14.219</c:v>
                </c:pt>
                <c:pt idx="1">
                  <c:v>19.887</c:v>
                </c:pt>
                <c:pt idx="2">
                  <c:v>15.781</c:v>
                </c:pt>
                <c:pt idx="3">
                  <c:v>18.601</c:v>
                </c:pt>
                <c:pt idx="4">
                  <c:v>18.326</c:v>
                </c:pt>
                <c:pt idx="5">
                  <c:v>20.07246363636363</c:v>
                </c:pt>
                <c:pt idx="6">
                  <c:v>16.37652727272727</c:v>
                </c:pt>
                <c:pt idx="7">
                  <c:v>21.02188181818182</c:v>
                </c:pt>
                <c:pt idx="8">
                  <c:v>16.54181818181818</c:v>
                </c:pt>
                <c:pt idx="9">
                  <c:v>16.32318181818182</c:v>
                </c:pt>
                <c:pt idx="10">
                  <c:v>15.73045454545455</c:v>
                </c:pt>
                <c:pt idx="11">
                  <c:v>19.94863636363636</c:v>
                </c:pt>
                <c:pt idx="12">
                  <c:v>17.12872727272727</c:v>
                </c:pt>
                <c:pt idx="13">
                  <c:v>19.08336363636364</c:v>
                </c:pt>
                <c:pt idx="14">
                  <c:v>17.414</c:v>
                </c:pt>
                <c:pt idx="15">
                  <c:v>15.493</c:v>
                </c:pt>
                <c:pt idx="16">
                  <c:v>29.79</c:v>
                </c:pt>
              </c:numCache>
            </c:numRef>
          </c:val>
          <c:smooth val="0"/>
        </c:ser>
        <c:ser>
          <c:idx val="3"/>
          <c:order val="1"/>
          <c:tx>
            <c:v>Alaska</c:v>
          </c:tx>
          <c:marker>
            <c:symbol val="none"/>
          </c:marker>
          <c:val>
            <c:numRef>
              <c:f>'Harvest trends'!$M$4:$M$20</c:f>
              <c:numCache>
                <c:formatCode>#,##0.00</c:formatCode>
                <c:ptCount val="17"/>
                <c:pt idx="0">
                  <c:v>10.677</c:v>
                </c:pt>
                <c:pt idx="1">
                  <c:v>16.7188</c:v>
                </c:pt>
                <c:pt idx="2">
                  <c:v>13.016</c:v>
                </c:pt>
                <c:pt idx="3">
                  <c:v>14.331</c:v>
                </c:pt>
                <c:pt idx="4">
                  <c:v>15.906</c:v>
                </c:pt>
                <c:pt idx="5">
                  <c:v>17.7121</c:v>
                </c:pt>
                <c:pt idx="6">
                  <c:v>14.0698</c:v>
                </c:pt>
                <c:pt idx="7">
                  <c:v>18.0177</c:v>
                </c:pt>
                <c:pt idx="8">
                  <c:v>14.382</c:v>
                </c:pt>
                <c:pt idx="9">
                  <c:v>14.545</c:v>
                </c:pt>
                <c:pt idx="10">
                  <c:v>11.13</c:v>
                </c:pt>
                <c:pt idx="11">
                  <c:v>16.052</c:v>
                </c:pt>
                <c:pt idx="12">
                  <c:v>12.501</c:v>
                </c:pt>
                <c:pt idx="13">
                  <c:v>13.772</c:v>
                </c:pt>
                <c:pt idx="14">
                  <c:v>9.85</c:v>
                </c:pt>
                <c:pt idx="15" formatCode="General">
                  <c:v>8.76</c:v>
                </c:pt>
                <c:pt idx="16" formatCode="0.00">
                  <c:v>16.829</c:v>
                </c:pt>
              </c:numCache>
            </c:numRef>
          </c:val>
          <c:smooth val="0"/>
        </c:ser>
        <c:ser>
          <c:idx val="2"/>
          <c:order val="2"/>
          <c:tx>
            <c:v>Russia</c:v>
          </c:tx>
          <c:marker>
            <c:symbol val="none"/>
          </c:marker>
          <c:val>
            <c:numRef>
              <c:f>'Harvest trends'!$P$4:$P$20</c:f>
              <c:numCache>
                <c:formatCode>0.00</c:formatCode>
                <c:ptCount val="17"/>
                <c:pt idx="0">
                  <c:v>2.463</c:v>
                </c:pt>
                <c:pt idx="1">
                  <c:v>2.388</c:v>
                </c:pt>
                <c:pt idx="2">
                  <c:v>1.732</c:v>
                </c:pt>
                <c:pt idx="3">
                  <c:v>2.077</c:v>
                </c:pt>
                <c:pt idx="4">
                  <c:v>2.175</c:v>
                </c:pt>
                <c:pt idx="5">
                  <c:v>1.839</c:v>
                </c:pt>
                <c:pt idx="6">
                  <c:v>1.434</c:v>
                </c:pt>
                <c:pt idx="7">
                  <c:v>1.596</c:v>
                </c:pt>
                <c:pt idx="8">
                  <c:v>0.948</c:v>
                </c:pt>
                <c:pt idx="9">
                  <c:v>1.3</c:v>
                </c:pt>
                <c:pt idx="10">
                  <c:v>3.71</c:v>
                </c:pt>
                <c:pt idx="11">
                  <c:v>3.653</c:v>
                </c:pt>
                <c:pt idx="12">
                  <c:v>3.695</c:v>
                </c:pt>
                <c:pt idx="13">
                  <c:v>4.895</c:v>
                </c:pt>
                <c:pt idx="14">
                  <c:v>4.764</c:v>
                </c:pt>
                <c:pt idx="15" formatCode="General">
                  <c:v>4.35</c:v>
                </c:pt>
                <c:pt idx="16" formatCode="General">
                  <c:v>9.853</c:v>
                </c:pt>
              </c:numCache>
            </c:numRef>
          </c:val>
          <c:smooth val="0"/>
        </c:ser>
        <c:ser>
          <c:idx val="5"/>
          <c:order val="3"/>
          <c:tx>
            <c:v>PNW</c:v>
          </c:tx>
          <c:marker>
            <c:symbol val="none"/>
          </c:marker>
          <c:val>
            <c:numRef>
              <c:f>'Harvest trends'!$O$4:$O$20</c:f>
              <c:numCache>
                <c:formatCode>0.00</c:formatCode>
                <c:ptCount val="17"/>
                <c:pt idx="0">
                  <c:v>0.439</c:v>
                </c:pt>
                <c:pt idx="1">
                  <c:v>0.760200000000001</c:v>
                </c:pt>
                <c:pt idx="2">
                  <c:v>1.003</c:v>
                </c:pt>
                <c:pt idx="3">
                  <c:v>2.163</c:v>
                </c:pt>
                <c:pt idx="4">
                  <c:v>0.195</c:v>
                </c:pt>
                <c:pt idx="5">
                  <c:v>0.0513636363636364</c:v>
                </c:pt>
                <c:pt idx="6">
                  <c:v>0.0727272727272727</c:v>
                </c:pt>
                <c:pt idx="7">
                  <c:v>0.248181818181818</c:v>
                </c:pt>
                <c:pt idx="8">
                  <c:v>0.0818181818181818</c:v>
                </c:pt>
                <c:pt idx="9">
                  <c:v>0.0981818181818181</c:v>
                </c:pt>
                <c:pt idx="10">
                  <c:v>0.160454545454545</c:v>
                </c:pt>
                <c:pt idx="11">
                  <c:v>0.0436363636363636</c:v>
                </c:pt>
                <c:pt idx="12">
                  <c:v>0.302727272727273</c:v>
                </c:pt>
                <c:pt idx="13">
                  <c:v>0.0463636363636363</c:v>
                </c:pt>
                <c:pt idx="14">
                  <c:v>1.94</c:v>
                </c:pt>
                <c:pt idx="15">
                  <c:v>1.693</c:v>
                </c:pt>
                <c:pt idx="16">
                  <c:v>1.593</c:v>
                </c:pt>
              </c:numCache>
            </c:numRef>
          </c:val>
          <c:smooth val="0"/>
        </c:ser>
        <c:ser>
          <c:idx val="4"/>
          <c:order val="4"/>
          <c:tx>
            <c:v>B.C.</c:v>
          </c:tx>
          <c:marker>
            <c:symbol val="none"/>
          </c:marker>
          <c:val>
            <c:numRef>
              <c:f>'Harvest trends'!$N$4:$N$20</c:f>
              <c:numCache>
                <c:formatCode>0.00</c:formatCode>
                <c:ptCount val="17"/>
                <c:pt idx="0">
                  <c:v>0.64</c:v>
                </c:pt>
                <c:pt idx="1">
                  <c:v>0.02</c:v>
                </c:pt>
                <c:pt idx="2">
                  <c:v>0.03</c:v>
                </c:pt>
                <c:pt idx="3">
                  <c:v>0.03</c:v>
                </c:pt>
                <c:pt idx="4">
                  <c:v>0.05</c:v>
                </c:pt>
                <c:pt idx="5">
                  <c:v>0.47</c:v>
                </c:pt>
                <c:pt idx="6">
                  <c:v>0.8</c:v>
                </c:pt>
                <c:pt idx="7">
                  <c:v>1.16</c:v>
                </c:pt>
                <c:pt idx="8">
                  <c:v>1.13</c:v>
                </c:pt>
                <c:pt idx="9">
                  <c:v>0.38</c:v>
                </c:pt>
                <c:pt idx="10">
                  <c:v>0.73</c:v>
                </c:pt>
                <c:pt idx="11">
                  <c:v>0.2</c:v>
                </c:pt>
                <c:pt idx="12">
                  <c:v>0.63</c:v>
                </c:pt>
                <c:pt idx="13">
                  <c:v>0.37</c:v>
                </c:pt>
                <c:pt idx="14">
                  <c:v>0.86</c:v>
                </c:pt>
                <c:pt idx="15" formatCode="General">
                  <c:v>0.69</c:v>
                </c:pt>
                <c:pt idx="16" formatCode="General">
                  <c:v>1.515</c:v>
                </c:pt>
              </c:numCache>
            </c:numRef>
          </c:val>
          <c:smooth val="0"/>
        </c:ser>
        <c:dLbls>
          <c:showLegendKey val="0"/>
          <c:showVal val="0"/>
          <c:showCatName val="0"/>
          <c:showSerName val="0"/>
          <c:showPercent val="0"/>
          <c:showBubbleSize val="0"/>
        </c:dLbls>
        <c:marker val="1"/>
        <c:smooth val="0"/>
        <c:axId val="2100245768"/>
        <c:axId val="2100248824"/>
      </c:lineChart>
      <c:catAx>
        <c:axId val="2100245768"/>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2100248824"/>
        <c:crosses val="autoZero"/>
        <c:auto val="1"/>
        <c:lblAlgn val="ctr"/>
        <c:lblOffset val="100"/>
        <c:noMultiLvlLbl val="0"/>
      </c:catAx>
      <c:valAx>
        <c:axId val="2100248824"/>
        <c:scaling>
          <c:orientation val="minMax"/>
        </c:scaling>
        <c:delete val="0"/>
        <c:axPos val="l"/>
        <c:majorGridlines/>
        <c:numFmt formatCode="#,##0" sourceLinked="0"/>
        <c:majorTickMark val="out"/>
        <c:minorTickMark val="none"/>
        <c:tickLblPos val="nextTo"/>
        <c:crossAx val="2100245768"/>
        <c:crosses val="autoZero"/>
        <c:crossBetween val="between"/>
      </c:valAx>
    </c:plotArea>
    <c:legend>
      <c:legendPos val="r"/>
      <c:layout>
        <c:manualLayout>
          <c:xMode val="edge"/>
          <c:yMode val="edge"/>
          <c:x val="0.779627799184676"/>
          <c:y val="0.198891321739863"/>
          <c:w val="0.196830848271626"/>
          <c:h val="0.605462124721041"/>
        </c:manualLayout>
      </c:layout>
      <c:overlay val="0"/>
    </c:legend>
    <c:plotVisOnly val="1"/>
    <c:dispBlanksAs val="gap"/>
    <c:showDLblsOverMax val="0"/>
  </c:chart>
  <c:txPr>
    <a:bodyPr/>
    <a:lstStyle/>
    <a:p>
      <a:pPr>
        <a:defRPr sz="9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Commercial Chinook Salmon Harvests 1997-2013 (thousands of tonnes)</a:t>
            </a:r>
          </a:p>
        </c:rich>
      </c:tx>
      <c:layout>
        <c:manualLayout>
          <c:xMode val="edge"/>
          <c:yMode val="edge"/>
          <c:x val="0.0891673647177082"/>
          <c:y val="0.0"/>
        </c:manualLayout>
      </c:layout>
      <c:overlay val="0"/>
    </c:title>
    <c:autoTitleDeleted val="0"/>
    <c:plotArea>
      <c:layout>
        <c:manualLayout>
          <c:layoutTarget val="inner"/>
          <c:xMode val="edge"/>
          <c:yMode val="edge"/>
          <c:x val="0.0867241491507776"/>
          <c:y val="0.186096256684492"/>
          <c:w val="0.668838443066957"/>
          <c:h val="0.631907448734683"/>
        </c:manualLayout>
      </c:layout>
      <c:lineChart>
        <c:grouping val="standard"/>
        <c:varyColors val="0"/>
        <c:ser>
          <c:idx val="0"/>
          <c:order val="0"/>
          <c:tx>
            <c:v>Total</c:v>
          </c:tx>
          <c:marker>
            <c:symbol val="none"/>
          </c:marker>
          <c:cat>
            <c:numRef>
              <c:f>'Harvest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'Harvest trends'!$V$4:$V$20</c:f>
              <c:numCache>
                <c:formatCode>0.00</c:formatCode>
                <c:ptCount val="17"/>
                <c:pt idx="0">
                  <c:v>13.08</c:v>
                </c:pt>
                <c:pt idx="1">
                  <c:v>9.445999999999997</c:v>
                </c:pt>
                <c:pt idx="2">
                  <c:v>8.722</c:v>
                </c:pt>
                <c:pt idx="3">
                  <c:v>8.374</c:v>
                </c:pt>
                <c:pt idx="4">
                  <c:v>5.638190654545454</c:v>
                </c:pt>
                <c:pt idx="5">
                  <c:v>14.305</c:v>
                </c:pt>
                <c:pt idx="6">
                  <c:v>15.034</c:v>
                </c:pt>
                <c:pt idx="7" formatCode="#,##0.00">
                  <c:v>16.058</c:v>
                </c:pt>
                <c:pt idx="8" formatCode="#,##0.00">
                  <c:v>13.481</c:v>
                </c:pt>
                <c:pt idx="9" formatCode="#,##0.00">
                  <c:v>10.318</c:v>
                </c:pt>
                <c:pt idx="10" formatCode="#,##0.00">
                  <c:v>9.118</c:v>
                </c:pt>
                <c:pt idx="11" formatCode="#,##0.00">
                  <c:v>6.660999999999999</c:v>
                </c:pt>
                <c:pt idx="12" formatCode="#,##0.00">
                  <c:v>6.338000000000001</c:v>
                </c:pt>
                <c:pt idx="13" formatCode="#,##0.00">
                  <c:v>7.02461254</c:v>
                </c:pt>
                <c:pt idx="14" formatCode="#,##0.00">
                  <c:v>9.260628860000001</c:v>
                </c:pt>
                <c:pt idx="15" formatCode="#,##0.00">
                  <c:v>7.794</c:v>
                </c:pt>
                <c:pt idx="16" formatCode="#,##0.00">
                  <c:v>9.366</c:v>
                </c:pt>
              </c:numCache>
            </c:numRef>
          </c:val>
          <c:smooth val="0"/>
        </c:ser>
        <c:ser>
          <c:idx val="5"/>
          <c:order val="1"/>
          <c:tx>
            <c:v>PNW</c:v>
          </c:tx>
          <c:marker>
            <c:symbol val="none"/>
          </c:marker>
          <c:val>
            <c:numRef>
              <c:f>'Harvest trends'!$T$4:$T$20</c:f>
              <c:numCache>
                <c:formatCode>0.00</c:formatCode>
                <c:ptCount val="17"/>
                <c:pt idx="0">
                  <c:v>5.1507</c:v>
                </c:pt>
                <c:pt idx="1">
                  <c:v>2.6333</c:v>
                </c:pt>
                <c:pt idx="2">
                  <c:v>3.632</c:v>
                </c:pt>
                <c:pt idx="3">
                  <c:v>4.66</c:v>
                </c:pt>
                <c:pt idx="4">
                  <c:v>1.485190654545454</c:v>
                </c:pt>
                <c:pt idx="5">
                  <c:v>7.3224</c:v>
                </c:pt>
                <c:pt idx="6">
                  <c:v>8.0039</c:v>
                </c:pt>
                <c:pt idx="7">
                  <c:v>7.452000000000001</c:v>
                </c:pt>
                <c:pt idx="8">
                  <c:v>6.034</c:v>
                </c:pt>
                <c:pt idx="9">
                  <c:v>2.889</c:v>
                </c:pt>
                <c:pt idx="10">
                  <c:v>2.881</c:v>
                </c:pt>
                <c:pt idx="11">
                  <c:v>2.211</c:v>
                </c:pt>
                <c:pt idx="12">
                  <c:v>2.206</c:v>
                </c:pt>
                <c:pt idx="13">
                  <c:v>2.456</c:v>
                </c:pt>
                <c:pt idx="14">
                  <c:v>3.89</c:v>
                </c:pt>
                <c:pt idx="15">
                  <c:v>4.244</c:v>
                </c:pt>
                <c:pt idx="16">
                  <c:v>6.303</c:v>
                </c:pt>
              </c:numCache>
            </c:numRef>
          </c:val>
          <c:smooth val="0"/>
        </c:ser>
        <c:ser>
          <c:idx val="3"/>
          <c:order val="2"/>
          <c:tx>
            <c:v>Alaska</c:v>
          </c:tx>
          <c:marker>
            <c:symbol val="none"/>
          </c:marker>
          <c:val>
            <c:numRef>
              <c:f>'Harvest trends'!$R$4:$R$20</c:f>
              <c:numCache>
                <c:formatCode>0.00</c:formatCode>
                <c:ptCount val="17"/>
                <c:pt idx="0">
                  <c:v>5.3903</c:v>
                </c:pt>
                <c:pt idx="1">
                  <c:v>4.6217</c:v>
                </c:pt>
                <c:pt idx="2">
                  <c:v>3.382</c:v>
                </c:pt>
                <c:pt idx="3">
                  <c:v>2.64</c:v>
                </c:pt>
                <c:pt idx="4">
                  <c:v>2.945</c:v>
                </c:pt>
                <c:pt idx="5">
                  <c:v>4.182600000000001</c:v>
                </c:pt>
                <c:pt idx="6">
                  <c:v>4.5631</c:v>
                </c:pt>
                <c:pt idx="7" formatCode="#,##0.00">
                  <c:v>5.774</c:v>
                </c:pt>
                <c:pt idx="8" formatCode="#,##0.00">
                  <c:v>4.8</c:v>
                </c:pt>
                <c:pt idx="9" formatCode="#,##0.00">
                  <c:v>4.511</c:v>
                </c:pt>
                <c:pt idx="10" formatCode="#,##0.00">
                  <c:v>3.916</c:v>
                </c:pt>
                <c:pt idx="11" formatCode="#,##0.00">
                  <c:v>2.408</c:v>
                </c:pt>
                <c:pt idx="12" formatCode="#,##0.00">
                  <c:v>2.34</c:v>
                </c:pt>
                <c:pt idx="13" formatCode="#,##0.00">
                  <c:v>2.452</c:v>
                </c:pt>
                <c:pt idx="14" formatCode="#,##0.00">
                  <c:v>2.841</c:v>
                </c:pt>
                <c:pt idx="15" formatCode="General">
                  <c:v>2.0</c:v>
                </c:pt>
                <c:pt idx="16">
                  <c:v>1.884</c:v>
                </c:pt>
              </c:numCache>
            </c:numRef>
          </c:val>
          <c:smooth val="0"/>
        </c:ser>
        <c:ser>
          <c:idx val="4"/>
          <c:order val="3"/>
          <c:tx>
            <c:v>B.C.</c:v>
          </c:tx>
          <c:marker>
            <c:symbol val="none"/>
          </c:marker>
          <c:val>
            <c:numRef>
              <c:f>'Harvest trends'!$S$4:$S$20</c:f>
              <c:numCache>
                <c:formatCode>0.00</c:formatCode>
                <c:ptCount val="17"/>
                <c:pt idx="0">
                  <c:v>1.476</c:v>
                </c:pt>
                <c:pt idx="1">
                  <c:v>1.401</c:v>
                </c:pt>
                <c:pt idx="2">
                  <c:v>0.768</c:v>
                </c:pt>
                <c:pt idx="3">
                  <c:v>0.521</c:v>
                </c:pt>
                <c:pt idx="4">
                  <c:v>0.666</c:v>
                </c:pt>
                <c:pt idx="5">
                  <c:v>1.696</c:v>
                </c:pt>
                <c:pt idx="6">
                  <c:v>2.204</c:v>
                </c:pt>
                <c:pt idx="7">
                  <c:v>2.463</c:v>
                </c:pt>
                <c:pt idx="8">
                  <c:v>2.008</c:v>
                </c:pt>
                <c:pt idx="9">
                  <c:v>2.17</c:v>
                </c:pt>
                <c:pt idx="10">
                  <c:v>1.52</c:v>
                </c:pt>
                <c:pt idx="11">
                  <c:v>1.112</c:v>
                </c:pt>
                <c:pt idx="12">
                  <c:v>1.097</c:v>
                </c:pt>
                <c:pt idx="13">
                  <c:v>1.36261254</c:v>
                </c:pt>
                <c:pt idx="14">
                  <c:v>1.77762886</c:v>
                </c:pt>
                <c:pt idx="15" formatCode="General">
                  <c:v>1.02</c:v>
                </c:pt>
                <c:pt idx="16">
                  <c:v>0.666</c:v>
                </c:pt>
              </c:numCache>
            </c:numRef>
          </c:val>
          <c:smooth val="0"/>
        </c:ser>
        <c:ser>
          <c:idx val="2"/>
          <c:order val="4"/>
          <c:tx>
            <c:v>Russia</c:v>
          </c:tx>
          <c:marker>
            <c:symbol val="none"/>
          </c:marker>
          <c:val>
            <c:numRef>
              <c:f>'Harvest trends'!$U$4:$U$20</c:f>
              <c:numCache>
                <c:formatCode>0.00</c:formatCode>
                <c:ptCount val="17"/>
                <c:pt idx="0">
                  <c:v>1.063</c:v>
                </c:pt>
                <c:pt idx="1">
                  <c:v>0.79</c:v>
                </c:pt>
                <c:pt idx="2">
                  <c:v>0.94</c:v>
                </c:pt>
                <c:pt idx="3">
                  <c:v>0.553</c:v>
                </c:pt>
                <c:pt idx="4">
                  <c:v>0.542</c:v>
                </c:pt>
                <c:pt idx="5">
                  <c:v>1.104</c:v>
                </c:pt>
                <c:pt idx="6">
                  <c:v>0.263</c:v>
                </c:pt>
                <c:pt idx="7">
                  <c:v>0.369</c:v>
                </c:pt>
                <c:pt idx="8">
                  <c:v>0.639</c:v>
                </c:pt>
                <c:pt idx="9">
                  <c:v>0.748</c:v>
                </c:pt>
                <c:pt idx="10">
                  <c:v>0.801</c:v>
                </c:pt>
                <c:pt idx="11">
                  <c:v>0.93</c:v>
                </c:pt>
                <c:pt idx="12">
                  <c:v>0.695</c:v>
                </c:pt>
                <c:pt idx="13">
                  <c:v>0.754</c:v>
                </c:pt>
                <c:pt idx="14">
                  <c:v>0.752</c:v>
                </c:pt>
                <c:pt idx="15" formatCode="General">
                  <c:v>0.53</c:v>
                </c:pt>
                <c:pt idx="16">
                  <c:v>0.513</c:v>
                </c:pt>
              </c:numCache>
            </c:numRef>
          </c:val>
          <c:smooth val="0"/>
        </c:ser>
        <c:dLbls>
          <c:showLegendKey val="0"/>
          <c:showVal val="0"/>
          <c:showCatName val="0"/>
          <c:showSerName val="0"/>
          <c:showPercent val="0"/>
          <c:showBubbleSize val="0"/>
        </c:dLbls>
        <c:marker val="1"/>
        <c:smooth val="0"/>
        <c:axId val="2100465080"/>
        <c:axId val="2100468088"/>
      </c:lineChart>
      <c:catAx>
        <c:axId val="2100465080"/>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2100468088"/>
        <c:crosses val="autoZero"/>
        <c:auto val="1"/>
        <c:lblAlgn val="ctr"/>
        <c:lblOffset val="100"/>
        <c:noMultiLvlLbl val="0"/>
      </c:catAx>
      <c:valAx>
        <c:axId val="2100468088"/>
        <c:scaling>
          <c:orientation val="minMax"/>
        </c:scaling>
        <c:delete val="0"/>
        <c:axPos val="l"/>
        <c:majorGridlines/>
        <c:numFmt formatCode="#,##0" sourceLinked="0"/>
        <c:majorTickMark val="out"/>
        <c:minorTickMark val="none"/>
        <c:tickLblPos val="nextTo"/>
        <c:crossAx val="2100465080"/>
        <c:crosses val="autoZero"/>
        <c:crossBetween val="between"/>
      </c:valAx>
    </c:plotArea>
    <c:legend>
      <c:legendPos val="r"/>
      <c:layout>
        <c:manualLayout>
          <c:xMode val="edge"/>
          <c:yMode val="edge"/>
          <c:x val="0.779627799184676"/>
          <c:y val="0.198891321739863"/>
          <c:w val="0.196830848271626"/>
          <c:h val="0.605462124721041"/>
        </c:manualLayout>
      </c:layout>
      <c:overlay val="0"/>
    </c:legend>
    <c:plotVisOnly val="1"/>
    <c:dispBlanksAs val="gap"/>
    <c:showDLblsOverMax val="0"/>
  </c:chart>
  <c:txPr>
    <a:bodyPr/>
    <a:lstStyle/>
    <a:p>
      <a:pPr>
        <a:defRPr sz="9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Commercial Sockeye Salmon Harvests 1997-2013 (thousands of tonnes)</a:t>
            </a:r>
          </a:p>
        </c:rich>
      </c:tx>
      <c:layout>
        <c:manualLayout>
          <c:xMode val="edge"/>
          <c:yMode val="edge"/>
          <c:x val="0.0891673647177082"/>
          <c:y val="0.0"/>
        </c:manualLayout>
      </c:layout>
      <c:overlay val="0"/>
    </c:title>
    <c:autoTitleDeleted val="0"/>
    <c:plotArea>
      <c:layout>
        <c:manualLayout>
          <c:layoutTarget val="inner"/>
          <c:xMode val="edge"/>
          <c:yMode val="edge"/>
          <c:x val="0.0867241491507776"/>
          <c:y val="0.186096256684492"/>
          <c:w val="0.697207237393198"/>
          <c:h val="0.631907448734683"/>
        </c:manualLayout>
      </c:layout>
      <c:lineChart>
        <c:grouping val="standard"/>
        <c:varyColors val="0"/>
        <c:ser>
          <c:idx val="0"/>
          <c:order val="0"/>
          <c:tx>
            <c:v>Total</c:v>
          </c:tx>
          <c:marker>
            <c:symbol val="none"/>
          </c:marker>
          <c:cat>
            <c:numRef>
              <c:f>'Harvest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'Harvest trends'!$Z$4:$Z$20</c:f>
              <c:numCache>
                <c:formatCode>#,##0.00</c:formatCode>
                <c:ptCount val="17"/>
                <c:pt idx="0">
                  <c:v>131.858</c:v>
                </c:pt>
                <c:pt idx="1">
                  <c:v>78.47</c:v>
                </c:pt>
                <c:pt idx="2">
                  <c:v>129.671</c:v>
                </c:pt>
                <c:pt idx="3">
                  <c:v>123.056</c:v>
                </c:pt>
                <c:pt idx="4">
                  <c:v>106.966</c:v>
                </c:pt>
                <c:pt idx="5">
                  <c:v>99.852</c:v>
                </c:pt>
                <c:pt idx="6">
                  <c:v>114.938</c:v>
                </c:pt>
                <c:pt idx="7">
                  <c:v>143.645</c:v>
                </c:pt>
                <c:pt idx="8">
                  <c:v>148.712</c:v>
                </c:pt>
                <c:pt idx="9">
                  <c:v>151.951</c:v>
                </c:pt>
                <c:pt idx="10">
                  <c:v>165.954</c:v>
                </c:pt>
                <c:pt idx="11">
                  <c:v>141.173</c:v>
                </c:pt>
                <c:pt idx="12">
                  <c:v>146.226</c:v>
                </c:pt>
                <c:pt idx="13">
                  <c:v>163.661175</c:v>
                </c:pt>
                <c:pt idx="14">
                  <c:v>158.047159</c:v>
                </c:pt>
                <c:pt idx="15">
                  <c:v>142.22</c:v>
                </c:pt>
                <c:pt idx="16">
                  <c:v>133.094</c:v>
                </c:pt>
              </c:numCache>
            </c:numRef>
          </c:val>
          <c:smooth val="0"/>
        </c:ser>
        <c:ser>
          <c:idx val="3"/>
          <c:order val="1"/>
          <c:tx>
            <c:v>Alaska</c:v>
          </c:tx>
          <c:marker>
            <c:symbol val="none"/>
          </c:marker>
          <c:val>
            <c:numRef>
              <c:f>'Harvest trends'!$W$4:$W$20</c:f>
              <c:numCache>
                <c:formatCode>#,##0.00</c:formatCode>
                <c:ptCount val="17"/>
                <c:pt idx="0">
                  <c:v>84.92</c:v>
                </c:pt>
                <c:pt idx="1">
                  <c:v>58.15</c:v>
                </c:pt>
                <c:pt idx="2">
                  <c:v>110.49</c:v>
                </c:pt>
                <c:pt idx="3">
                  <c:v>93.76</c:v>
                </c:pt>
                <c:pt idx="4">
                  <c:v>77.59</c:v>
                </c:pt>
                <c:pt idx="5">
                  <c:v>61.4</c:v>
                </c:pt>
                <c:pt idx="6">
                  <c:v>85.14</c:v>
                </c:pt>
                <c:pt idx="7">
                  <c:v>117.44</c:v>
                </c:pt>
                <c:pt idx="8">
                  <c:v>121.06</c:v>
                </c:pt>
                <c:pt idx="9">
                  <c:v>107.83</c:v>
                </c:pt>
                <c:pt idx="10">
                  <c:v>126.8</c:v>
                </c:pt>
                <c:pt idx="11">
                  <c:v>102.46</c:v>
                </c:pt>
                <c:pt idx="12">
                  <c:v>117.27</c:v>
                </c:pt>
                <c:pt idx="13">
                  <c:v>110.067</c:v>
                </c:pt>
                <c:pt idx="14">
                  <c:v>112.85</c:v>
                </c:pt>
                <c:pt idx="15" formatCode="General">
                  <c:v>96.1</c:v>
                </c:pt>
                <c:pt idx="16" formatCode="0.00">
                  <c:v>81.533</c:v>
                </c:pt>
              </c:numCache>
            </c:numRef>
          </c:val>
          <c:smooth val="0"/>
        </c:ser>
        <c:ser>
          <c:idx val="2"/>
          <c:order val="2"/>
          <c:tx>
            <c:v>Russia</c:v>
          </c:tx>
          <c:marker>
            <c:symbol val="none"/>
          </c:marker>
          <c:val>
            <c:numRef>
              <c:f>'Harvest trends'!$Y$4:$Y$20</c:f>
              <c:numCache>
                <c:formatCode>0.00</c:formatCode>
                <c:ptCount val="17"/>
                <c:pt idx="0">
                  <c:v>22.308</c:v>
                </c:pt>
                <c:pt idx="1">
                  <c:v>15.26</c:v>
                </c:pt>
                <c:pt idx="2">
                  <c:v>17.371</c:v>
                </c:pt>
                <c:pt idx="3">
                  <c:v>20.426</c:v>
                </c:pt>
                <c:pt idx="4">
                  <c:v>22.186</c:v>
                </c:pt>
                <c:pt idx="5">
                  <c:v>28.292</c:v>
                </c:pt>
                <c:pt idx="6">
                  <c:v>23.398</c:v>
                </c:pt>
                <c:pt idx="7">
                  <c:v>21.835</c:v>
                </c:pt>
                <c:pt idx="8">
                  <c:v>26.722</c:v>
                </c:pt>
                <c:pt idx="9">
                  <c:v>31.731</c:v>
                </c:pt>
                <c:pt idx="10">
                  <c:v>37.344</c:v>
                </c:pt>
                <c:pt idx="11">
                  <c:v>36.653</c:v>
                </c:pt>
                <c:pt idx="12">
                  <c:v>28.396</c:v>
                </c:pt>
                <c:pt idx="13">
                  <c:v>33.6</c:v>
                </c:pt>
                <c:pt idx="14">
                  <c:v>42.369</c:v>
                </c:pt>
                <c:pt idx="15" formatCode="General">
                  <c:v>44.05</c:v>
                </c:pt>
                <c:pt idx="16" formatCode="General">
                  <c:v>50.94</c:v>
                </c:pt>
              </c:numCache>
            </c:numRef>
          </c:val>
          <c:smooth val="0"/>
        </c:ser>
        <c:ser>
          <c:idx val="4"/>
          <c:order val="3"/>
          <c:tx>
            <c:v>B.C.</c:v>
          </c:tx>
          <c:marker>
            <c:symbol val="none"/>
          </c:marker>
          <c:val>
            <c:numRef>
              <c:f>'Harvest trends'!$X$4:$X$20</c:f>
              <c:numCache>
                <c:formatCode>0.00</c:formatCode>
                <c:ptCount val="17"/>
                <c:pt idx="0">
                  <c:v>24.63</c:v>
                </c:pt>
                <c:pt idx="1">
                  <c:v>5.06</c:v>
                </c:pt>
                <c:pt idx="2">
                  <c:v>1.81</c:v>
                </c:pt>
                <c:pt idx="3">
                  <c:v>8.87</c:v>
                </c:pt>
                <c:pt idx="4">
                  <c:v>7.19</c:v>
                </c:pt>
                <c:pt idx="5">
                  <c:v>10.16</c:v>
                </c:pt>
                <c:pt idx="6">
                  <c:v>6.4</c:v>
                </c:pt>
                <c:pt idx="7">
                  <c:v>4.37</c:v>
                </c:pt>
                <c:pt idx="8">
                  <c:v>0.93</c:v>
                </c:pt>
                <c:pt idx="9">
                  <c:v>12.39</c:v>
                </c:pt>
                <c:pt idx="10">
                  <c:v>1.81</c:v>
                </c:pt>
                <c:pt idx="11">
                  <c:v>2.06</c:v>
                </c:pt>
                <c:pt idx="12">
                  <c:v>0.56</c:v>
                </c:pt>
                <c:pt idx="13">
                  <c:v>19.994175</c:v>
                </c:pt>
                <c:pt idx="14">
                  <c:v>2.828159</c:v>
                </c:pt>
                <c:pt idx="15" formatCode="General">
                  <c:v>2.07</c:v>
                </c:pt>
                <c:pt idx="16" formatCode="General">
                  <c:v>0.621</c:v>
                </c:pt>
              </c:numCache>
            </c:numRef>
          </c:val>
          <c:smooth val="0"/>
        </c:ser>
        <c:dLbls>
          <c:showLegendKey val="0"/>
          <c:showVal val="0"/>
          <c:showCatName val="0"/>
          <c:showSerName val="0"/>
          <c:showPercent val="0"/>
          <c:showBubbleSize val="0"/>
        </c:dLbls>
        <c:marker val="1"/>
        <c:smooth val="0"/>
        <c:axId val="2100275464"/>
        <c:axId val="2100278584"/>
      </c:lineChart>
      <c:catAx>
        <c:axId val="2100275464"/>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2100278584"/>
        <c:crosses val="autoZero"/>
        <c:auto val="1"/>
        <c:lblAlgn val="ctr"/>
        <c:lblOffset val="100"/>
        <c:noMultiLvlLbl val="0"/>
      </c:catAx>
      <c:valAx>
        <c:axId val="2100278584"/>
        <c:scaling>
          <c:orientation val="minMax"/>
        </c:scaling>
        <c:delete val="0"/>
        <c:axPos val="l"/>
        <c:majorGridlines/>
        <c:numFmt formatCode="#,##0" sourceLinked="0"/>
        <c:majorTickMark val="out"/>
        <c:minorTickMark val="none"/>
        <c:tickLblPos val="nextTo"/>
        <c:crossAx val="2100275464"/>
        <c:crosses val="autoZero"/>
        <c:crossBetween val="between"/>
      </c:valAx>
    </c:plotArea>
    <c:legend>
      <c:legendPos val="r"/>
      <c:layout>
        <c:manualLayout>
          <c:xMode val="edge"/>
          <c:yMode val="edge"/>
          <c:x val="0.783173898475456"/>
          <c:y val="0.198891321739863"/>
          <c:w val="0.196830848271626"/>
          <c:h val="0.605462124721041"/>
        </c:manualLayout>
      </c:layout>
      <c:overlay val="0"/>
    </c:legend>
    <c:plotVisOnly val="1"/>
    <c:dispBlanksAs val="gap"/>
    <c:showDLblsOverMax val="0"/>
  </c:chart>
  <c:txPr>
    <a:bodyPr/>
    <a:lstStyle/>
    <a:p>
      <a:pPr>
        <a:defRPr sz="9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251633439437"/>
          <c:y val="0.0844919786096256"/>
          <c:w val="0.626264030825934"/>
          <c:h val="0.68538338456356"/>
        </c:manualLayout>
      </c:layout>
      <c:lineChart>
        <c:grouping val="standard"/>
        <c:varyColors val="0"/>
        <c:ser>
          <c:idx val="0"/>
          <c:order val="0"/>
          <c:tx>
            <c:v>Total</c:v>
          </c:tx>
          <c:marker>
            <c:symbol val="none"/>
          </c:marker>
          <c:cat>
            <c:numRef>
              <c:f>'Harvest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'Harvest trends'!$AF$4:$AF$20</c:f>
              <c:numCache>
                <c:formatCode>#,##0.00</c:formatCode>
                <c:ptCount val="17"/>
                <c:pt idx="0">
                  <c:v>834.0354000000002</c:v>
                </c:pt>
                <c:pt idx="1">
                  <c:v>817.9257000000001</c:v>
                </c:pt>
                <c:pt idx="2">
                  <c:v>840.5509999999999</c:v>
                </c:pt>
                <c:pt idx="3">
                  <c:v>718.620749052446</c:v>
                </c:pt>
                <c:pt idx="4">
                  <c:v>822.4851906545456</c:v>
                </c:pt>
                <c:pt idx="5">
                  <c:v>679.4913636363635</c:v>
                </c:pt>
                <c:pt idx="6">
                  <c:v>939.0924272727272</c:v>
                </c:pt>
                <c:pt idx="7">
                  <c:v>832.0819818181817</c:v>
                </c:pt>
                <c:pt idx="8">
                  <c:v>984.7288181818182</c:v>
                </c:pt>
                <c:pt idx="9">
                  <c:v>879.3626972103311</c:v>
                </c:pt>
                <c:pt idx="10">
                  <c:v>1042.985071906687</c:v>
                </c:pt>
                <c:pt idx="11">
                  <c:v>777.5657632692741</c:v>
                </c:pt>
                <c:pt idx="12">
                  <c:v>1127.644982847396</c:v>
                </c:pt>
                <c:pt idx="13">
                  <c:v>806.51268954</c:v>
                </c:pt>
                <c:pt idx="14">
                  <c:v>1044.00803986</c:v>
                </c:pt>
                <c:pt idx="15">
                  <c:v>873.594</c:v>
                </c:pt>
                <c:pt idx="16">
                  <c:v>1093.077</c:v>
                </c:pt>
              </c:numCache>
            </c:numRef>
          </c:val>
          <c:smooth val="0"/>
        </c:ser>
        <c:ser>
          <c:idx val="3"/>
          <c:order val="1"/>
          <c:tx>
            <c:v>Alaska</c:v>
          </c:tx>
          <c:marker>
            <c:symbol val="none"/>
          </c:marker>
          <c:val>
            <c:numRef>
              <c:f>'Harvest trends'!$AA$4:$AA$20</c:f>
              <c:numCache>
                <c:formatCode>#,##0.00</c:formatCode>
                <c:ptCount val="17"/>
                <c:pt idx="0">
                  <c:v>285.0048</c:v>
                </c:pt>
                <c:pt idx="1">
                  <c:v>324.3173</c:v>
                </c:pt>
                <c:pt idx="2">
                  <c:v>407.672</c:v>
                </c:pt>
                <c:pt idx="3">
                  <c:v>323.0</c:v>
                </c:pt>
                <c:pt idx="4">
                  <c:v>349.606</c:v>
                </c:pt>
                <c:pt idx="5">
                  <c:v>282.9976</c:v>
                </c:pt>
                <c:pt idx="6">
                  <c:v>362.5108</c:v>
                </c:pt>
                <c:pt idx="7">
                  <c:v>364.5108</c:v>
                </c:pt>
                <c:pt idx="8">
                  <c:v>436.023</c:v>
                </c:pt>
                <c:pt idx="9">
                  <c:v>331.704</c:v>
                </c:pt>
                <c:pt idx="10">
                  <c:v>430.046</c:v>
                </c:pt>
                <c:pt idx="11">
                  <c:v>320.9279999999999</c:v>
                </c:pt>
                <c:pt idx="12">
                  <c:v>331.729</c:v>
                </c:pt>
                <c:pt idx="13">
                  <c:v>372.491</c:v>
                </c:pt>
                <c:pt idx="14">
                  <c:v>361.839</c:v>
                </c:pt>
                <c:pt idx="15">
                  <c:v>286.76</c:v>
                </c:pt>
                <c:pt idx="16">
                  <c:v>483.427</c:v>
                </c:pt>
              </c:numCache>
            </c:numRef>
          </c:val>
          <c:smooth val="0"/>
        </c:ser>
        <c:ser>
          <c:idx val="2"/>
          <c:order val="2"/>
          <c:tx>
            <c:v>Russia</c:v>
          </c:tx>
          <c:marker>
            <c:symbol val="none"/>
          </c:marker>
          <c:val>
            <c:numRef>
              <c:f>'Harvest trends'!$AE$4:$AE$20</c:f>
              <c:numCache>
                <c:formatCode>#,##0.00</c:formatCode>
                <c:ptCount val="17"/>
                <c:pt idx="0">
                  <c:v>244.168</c:v>
                </c:pt>
                <c:pt idx="1">
                  <c:v>256.492</c:v>
                </c:pt>
                <c:pt idx="2">
                  <c:v>237.209</c:v>
                </c:pt>
                <c:pt idx="3">
                  <c:v>205.23</c:v>
                </c:pt>
                <c:pt idx="4">
                  <c:v>231.572</c:v>
                </c:pt>
                <c:pt idx="5">
                  <c:v>130.53</c:v>
                </c:pt>
                <c:pt idx="6">
                  <c:v>251.126</c:v>
                </c:pt>
                <c:pt idx="7">
                  <c:v>181.8</c:v>
                </c:pt>
                <c:pt idx="8">
                  <c:v>277.6060000000001</c:v>
                </c:pt>
                <c:pt idx="9">
                  <c:v>294.9742576960746</c:v>
                </c:pt>
                <c:pt idx="10">
                  <c:v>364.1248086806163</c:v>
                </c:pt>
                <c:pt idx="11">
                  <c:v>274.0957634528189</c:v>
                </c:pt>
                <c:pt idx="12">
                  <c:v>551.557</c:v>
                </c:pt>
                <c:pt idx="13">
                  <c:v>329.2380000000001</c:v>
                </c:pt>
                <c:pt idx="14">
                  <c:v>512.715</c:v>
                </c:pt>
                <c:pt idx="15">
                  <c:v>439.708</c:v>
                </c:pt>
                <c:pt idx="16">
                  <c:v>404.122</c:v>
                </c:pt>
              </c:numCache>
            </c:numRef>
          </c:val>
          <c:smooth val="0"/>
        </c:ser>
        <c:ser>
          <c:idx val="1"/>
          <c:order val="3"/>
          <c:tx>
            <c:v>Japan</c:v>
          </c:tx>
          <c:marker>
            <c:symbol val="none"/>
          </c:marker>
          <c:val>
            <c:numRef>
              <c:f>'Harvest trends'!$AC$4:$AC$20</c:f>
              <c:numCache>
                <c:formatCode>#,##0.00</c:formatCode>
                <c:ptCount val="17"/>
                <c:pt idx="0">
                  <c:v>250.031</c:v>
                </c:pt>
                <c:pt idx="1">
                  <c:v>200.468</c:v>
                </c:pt>
                <c:pt idx="2">
                  <c:v>172.731</c:v>
                </c:pt>
                <c:pt idx="3">
                  <c:v>163.417</c:v>
                </c:pt>
                <c:pt idx="4">
                  <c:v>208.224</c:v>
                </c:pt>
                <c:pt idx="5">
                  <c:v>216.405</c:v>
                </c:pt>
                <c:pt idx="6">
                  <c:v>278.7790000000001</c:v>
                </c:pt>
                <c:pt idx="7">
                  <c:v>252.196</c:v>
                </c:pt>
                <c:pt idx="8">
                  <c:v>237.802</c:v>
                </c:pt>
                <c:pt idx="9">
                  <c:v>220.641</c:v>
                </c:pt>
                <c:pt idx="10">
                  <c:v>220.994</c:v>
                </c:pt>
                <c:pt idx="11">
                  <c:v>172.352</c:v>
                </c:pt>
                <c:pt idx="12">
                  <c:v>215.869</c:v>
                </c:pt>
                <c:pt idx="13">
                  <c:v>77.93640718181818</c:v>
                </c:pt>
                <c:pt idx="14">
                  <c:v>140.618</c:v>
                </c:pt>
                <c:pt idx="15">
                  <c:v>127.378</c:v>
                </c:pt>
                <c:pt idx="16">
                  <c:v>163.15</c:v>
                </c:pt>
              </c:numCache>
            </c:numRef>
          </c:val>
          <c:smooth val="0"/>
        </c:ser>
        <c:ser>
          <c:idx val="4"/>
          <c:order val="4"/>
          <c:tx>
            <c:v>B.C.</c:v>
          </c:tx>
          <c:marker>
            <c:symbol val="none"/>
          </c:marker>
          <c:val>
            <c:numRef>
              <c:f>'Harvest trends'!$AB$4:$AB$20</c:f>
              <c:numCache>
                <c:formatCode>#,##0.00</c:formatCode>
                <c:ptCount val="17"/>
                <c:pt idx="0">
                  <c:v>47.332</c:v>
                </c:pt>
                <c:pt idx="1">
                  <c:v>30.307</c:v>
                </c:pt>
                <c:pt idx="2">
                  <c:v>17.122</c:v>
                </c:pt>
                <c:pt idx="3">
                  <c:v>19.489</c:v>
                </c:pt>
                <c:pt idx="4">
                  <c:v>24.726</c:v>
                </c:pt>
                <c:pt idx="5">
                  <c:v>33.241</c:v>
                </c:pt>
                <c:pt idx="6">
                  <c:v>38.6</c:v>
                </c:pt>
                <c:pt idx="7">
                  <c:v>25.875</c:v>
                </c:pt>
                <c:pt idx="8">
                  <c:v>27.182</c:v>
                </c:pt>
                <c:pt idx="9">
                  <c:v>25.715</c:v>
                </c:pt>
                <c:pt idx="10">
                  <c:v>21.926</c:v>
                </c:pt>
                <c:pt idx="11">
                  <c:v>6.055000000000001</c:v>
                </c:pt>
                <c:pt idx="12">
                  <c:v>24.798</c:v>
                </c:pt>
                <c:pt idx="13">
                  <c:v>23.54118954</c:v>
                </c:pt>
                <c:pt idx="14">
                  <c:v>19.16603986</c:v>
                </c:pt>
                <c:pt idx="15">
                  <c:v>9.061</c:v>
                </c:pt>
                <c:pt idx="16">
                  <c:v>27.782</c:v>
                </c:pt>
              </c:numCache>
            </c:numRef>
          </c:val>
          <c:smooth val="0"/>
        </c:ser>
        <c:ser>
          <c:idx val="5"/>
          <c:order val="5"/>
          <c:tx>
            <c:v>PNW</c:v>
          </c:tx>
          <c:marker>
            <c:symbol val="none"/>
          </c:marker>
          <c:val>
            <c:numRef>
              <c:f>'Harvest trends'!$AD$4:$AD$20</c:f>
              <c:numCache>
                <c:formatCode>#,##0.00</c:formatCode>
                <c:ptCount val="17"/>
                <c:pt idx="0">
                  <c:v>7.499600000000007</c:v>
                </c:pt>
                <c:pt idx="1">
                  <c:v>6.341399999999991</c:v>
                </c:pt>
                <c:pt idx="2">
                  <c:v>5.817000000000002</c:v>
                </c:pt>
                <c:pt idx="3">
                  <c:v>7.484749052445973</c:v>
                </c:pt>
                <c:pt idx="4">
                  <c:v>8.357190654545455</c:v>
                </c:pt>
                <c:pt idx="5">
                  <c:v>16.31776363636364</c:v>
                </c:pt>
                <c:pt idx="6">
                  <c:v>8.07662727272727</c:v>
                </c:pt>
                <c:pt idx="7">
                  <c:v>7.700181818181819</c:v>
                </c:pt>
                <c:pt idx="8">
                  <c:v>6.115818181818182</c:v>
                </c:pt>
                <c:pt idx="9">
                  <c:v>6.328439514256407</c:v>
                </c:pt>
                <c:pt idx="10">
                  <c:v>5.894263226070953</c:v>
                </c:pt>
                <c:pt idx="11">
                  <c:v>4.134999816455256</c:v>
                </c:pt>
                <c:pt idx="12">
                  <c:v>3.691982847395601</c:v>
                </c:pt>
                <c:pt idx="13">
                  <c:v>3.306092818181819</c:v>
                </c:pt>
                <c:pt idx="14">
                  <c:v>9.67</c:v>
                </c:pt>
                <c:pt idx="15">
                  <c:v>10.687</c:v>
                </c:pt>
                <c:pt idx="16">
                  <c:v>14.596</c:v>
                </c:pt>
              </c:numCache>
            </c:numRef>
          </c:val>
          <c:smooth val="0"/>
        </c:ser>
        <c:dLbls>
          <c:showLegendKey val="0"/>
          <c:showVal val="0"/>
          <c:showCatName val="0"/>
          <c:showSerName val="0"/>
          <c:showPercent val="0"/>
          <c:showBubbleSize val="0"/>
        </c:dLbls>
        <c:marker val="1"/>
        <c:smooth val="0"/>
        <c:axId val="2098819768"/>
        <c:axId val="2101679832"/>
      </c:lineChart>
      <c:catAx>
        <c:axId val="2098819768"/>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txPr>
          <a:bodyPr rot="-5400000" vert="horz"/>
          <a:lstStyle/>
          <a:p>
            <a:pPr>
              <a:defRPr/>
            </a:pPr>
            <a:endParaRPr lang="en-US"/>
          </a:p>
        </c:txPr>
        <c:crossAx val="2101679832"/>
        <c:crosses val="autoZero"/>
        <c:auto val="1"/>
        <c:lblAlgn val="ctr"/>
        <c:lblOffset val="100"/>
        <c:noMultiLvlLbl val="0"/>
      </c:catAx>
      <c:valAx>
        <c:axId val="2101679832"/>
        <c:scaling>
          <c:orientation val="minMax"/>
        </c:scaling>
        <c:delete val="0"/>
        <c:axPos val="l"/>
        <c:majorGridlines/>
        <c:title>
          <c:tx>
            <c:rich>
              <a:bodyPr rot="-5400000" vert="horz"/>
              <a:lstStyle/>
              <a:p>
                <a:pPr>
                  <a:defRPr/>
                </a:pPr>
                <a:r>
                  <a:rPr lang="en-US"/>
                  <a:t>Annual Harvest ('000t)</a:t>
                </a:r>
              </a:p>
            </c:rich>
          </c:tx>
          <c:layout>
            <c:manualLayout>
              <c:xMode val="edge"/>
              <c:yMode val="edge"/>
              <c:x val="0.00354609929078014"/>
              <c:y val="0.199269863994273"/>
            </c:manualLayout>
          </c:layout>
          <c:overlay val="0"/>
        </c:title>
        <c:numFmt formatCode="#,##0" sourceLinked="0"/>
        <c:majorTickMark val="out"/>
        <c:minorTickMark val="none"/>
        <c:tickLblPos val="nextTo"/>
        <c:crossAx val="2098819768"/>
        <c:crosses val="autoZero"/>
        <c:crossBetween val="between"/>
      </c:valAx>
    </c:plotArea>
    <c:legend>
      <c:legendPos val="r"/>
      <c:layout>
        <c:manualLayout>
          <c:xMode val="edge"/>
          <c:yMode val="edge"/>
          <c:x val="0.779627799184676"/>
          <c:y val="0.198891321739863"/>
          <c:w val="0.196830848271626"/>
          <c:h val="0.605462124721041"/>
        </c:manualLayout>
      </c:layout>
      <c:overlay val="0"/>
    </c:legend>
    <c:plotVisOnly val="1"/>
    <c:dispBlanksAs val="gap"/>
    <c:showDLblsOverMax val="0"/>
  </c:chart>
  <c:txPr>
    <a:bodyPr/>
    <a:lstStyle/>
    <a:p>
      <a:pPr>
        <a:defRPr sz="9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baseline="0"/>
              <a:t>Hatchery Chum Salmon Releases 1997-2013 (thousands of fry or smolt)</a:t>
            </a:r>
            <a:endParaRPr lang="en-US" sz="1000"/>
          </a:p>
        </c:rich>
      </c:tx>
      <c:layout>
        <c:manualLayout>
          <c:xMode val="edge"/>
          <c:yMode val="edge"/>
          <c:x val="0.0636546935986133"/>
          <c:y val="0.0155440414507772"/>
        </c:manualLayout>
      </c:layout>
      <c:overlay val="0"/>
    </c:title>
    <c:autoTitleDeleted val="0"/>
    <c:plotArea>
      <c:layout>
        <c:manualLayout>
          <c:layoutTarget val="inner"/>
          <c:xMode val="edge"/>
          <c:yMode val="edge"/>
          <c:x val="0.151723472930118"/>
          <c:y val="0.214507772020725"/>
          <c:w val="0.58822437304812"/>
          <c:h val="0.610190118722206"/>
        </c:manualLayout>
      </c:layout>
      <c:lineChart>
        <c:grouping val="standard"/>
        <c:varyColors val="0"/>
        <c:ser>
          <c:idx val="0"/>
          <c:order val="0"/>
          <c:tx>
            <c:v>Total</c:v>
          </c:tx>
          <c:marker>
            <c:symbol val="none"/>
          </c:marker>
          <c:cat>
            <c:numRef>
              <c:f>'Hatchery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'Hatchery trends'!$G$4:$G$20</c:f>
              <c:numCache>
                <c:formatCode>_(* #,##0_);_(* \(#,##0\);_(* "-"??_);_(@_)</c:formatCode>
                <c:ptCount val="17"/>
                <c:pt idx="0">
                  <c:v>2.907389E6</c:v>
                </c:pt>
                <c:pt idx="1">
                  <c:v>2.835869E6</c:v>
                </c:pt>
                <c:pt idx="2">
                  <c:v>2.839346E6</c:v>
                </c:pt>
                <c:pt idx="3">
                  <c:v>2.814074E6</c:v>
                </c:pt>
                <c:pt idx="4">
                  <c:v>2.716805E6</c:v>
                </c:pt>
                <c:pt idx="5">
                  <c:v>2.818941E6</c:v>
                </c:pt>
                <c:pt idx="6">
                  <c:v>2.862593E6</c:v>
                </c:pt>
                <c:pt idx="7">
                  <c:v>2.915479E6</c:v>
                </c:pt>
                <c:pt idx="8">
                  <c:v>2.994094E6</c:v>
                </c:pt>
                <c:pt idx="9">
                  <c:v>2.881248E6</c:v>
                </c:pt>
                <c:pt idx="10">
                  <c:v>3.083718E6</c:v>
                </c:pt>
                <c:pt idx="11">
                  <c:v>3.081466E6</c:v>
                </c:pt>
                <c:pt idx="12">
                  <c:v>2.996045E6</c:v>
                </c:pt>
                <c:pt idx="13">
                  <c:v>3.157637E6</c:v>
                </c:pt>
                <c:pt idx="14">
                  <c:v>2.44493E6</c:v>
                </c:pt>
                <c:pt idx="15">
                  <c:v>3.084226E6</c:v>
                </c:pt>
                <c:pt idx="16">
                  <c:v>3.092726E6</c:v>
                </c:pt>
              </c:numCache>
            </c:numRef>
          </c:val>
          <c:smooth val="0"/>
        </c:ser>
        <c:ser>
          <c:idx val="1"/>
          <c:order val="1"/>
          <c:tx>
            <c:v>Japan</c:v>
          </c:tx>
          <c:marker>
            <c:symbol val="none"/>
          </c:marker>
          <c:cat>
            <c:numRef>
              <c:f>'Hatchery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'Hatchery trends'!$E$4:$E$20</c:f>
              <c:numCache>
                <c:formatCode>_(* #,##0_);_(* \(#,##0\);_(* "-"??_);_(@_)</c:formatCode>
                <c:ptCount val="17"/>
                <c:pt idx="0">
                  <c:v>1.942516E6</c:v>
                </c:pt>
                <c:pt idx="1">
                  <c:v>1.873886E6</c:v>
                </c:pt>
                <c:pt idx="2">
                  <c:v>1.867901E6</c:v>
                </c:pt>
                <c:pt idx="3">
                  <c:v>1.817434E6</c:v>
                </c:pt>
                <c:pt idx="4">
                  <c:v>1.831152E6</c:v>
                </c:pt>
                <c:pt idx="5">
                  <c:v>1.851588E6</c:v>
                </c:pt>
                <c:pt idx="6">
                  <c:v>1.838801E6</c:v>
                </c:pt>
                <c:pt idx="7">
                  <c:v>1.815713E6</c:v>
                </c:pt>
                <c:pt idx="8">
                  <c:v>1.844388E6</c:v>
                </c:pt>
                <c:pt idx="9">
                  <c:v>1.845186E6</c:v>
                </c:pt>
                <c:pt idx="10">
                  <c:v>1.870269E6</c:v>
                </c:pt>
                <c:pt idx="11">
                  <c:v>1.887738E6</c:v>
                </c:pt>
                <c:pt idx="12">
                  <c:v>1.809759E6</c:v>
                </c:pt>
                <c:pt idx="13">
                  <c:v>1.851658E6</c:v>
                </c:pt>
                <c:pt idx="14">
                  <c:v>1.199238E6</c:v>
                </c:pt>
                <c:pt idx="15">
                  <c:v>1.641499E6</c:v>
                </c:pt>
                <c:pt idx="16">
                  <c:v>1.614781E6</c:v>
                </c:pt>
              </c:numCache>
            </c:numRef>
          </c:val>
          <c:smooth val="0"/>
        </c:ser>
        <c:ser>
          <c:idx val="2"/>
          <c:order val="2"/>
          <c:tx>
            <c:v>Alaska</c:v>
          </c:tx>
          <c:marker>
            <c:symbol val="none"/>
          </c:marker>
          <c:cat>
            <c:numRef>
              <c:f>'Hatchery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'Hatchery trends'!$B$4:$B$20</c:f>
              <c:numCache>
                <c:formatCode>_(* #,##0_);_(* \(#,##0\);_(* "-"??_);_(@_)</c:formatCode>
                <c:ptCount val="17"/>
                <c:pt idx="0">
                  <c:v>478060.0</c:v>
                </c:pt>
                <c:pt idx="1">
                  <c:v>479200.0</c:v>
                </c:pt>
                <c:pt idx="2">
                  <c:v>460860.0</c:v>
                </c:pt>
                <c:pt idx="3">
                  <c:v>507690.0</c:v>
                </c:pt>
                <c:pt idx="4">
                  <c:v>465440.0</c:v>
                </c:pt>
                <c:pt idx="5">
                  <c:v>450990.0</c:v>
                </c:pt>
                <c:pt idx="6">
                  <c:v>466190.0</c:v>
                </c:pt>
                <c:pt idx="7">
                  <c:v>579960.0</c:v>
                </c:pt>
                <c:pt idx="8">
                  <c:v>582790.0</c:v>
                </c:pt>
                <c:pt idx="9">
                  <c:v>541250.0</c:v>
                </c:pt>
                <c:pt idx="10">
                  <c:v>604600.0</c:v>
                </c:pt>
                <c:pt idx="11">
                  <c:v>567460.0</c:v>
                </c:pt>
                <c:pt idx="12">
                  <c:v>551720.0</c:v>
                </c:pt>
                <c:pt idx="13">
                  <c:v>609170.0</c:v>
                </c:pt>
                <c:pt idx="14">
                  <c:v>563500.0</c:v>
                </c:pt>
                <c:pt idx="15">
                  <c:v>633390.0</c:v>
                </c:pt>
                <c:pt idx="16">
                  <c:v>658960.0</c:v>
                </c:pt>
              </c:numCache>
            </c:numRef>
          </c:val>
          <c:smooth val="0"/>
        </c:ser>
        <c:ser>
          <c:idx val="3"/>
          <c:order val="3"/>
          <c:tx>
            <c:v>Russia</c:v>
          </c:tx>
          <c:marker>
            <c:symbol val="none"/>
          </c:marker>
          <c:cat>
            <c:numRef>
              <c:f>'Hatchery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'Hatchery trends'!$F$4:$F$20</c:f>
              <c:numCache>
                <c:formatCode>_(* #,##0_);_(* \(#,##0\);_(* "-"??_);_(@_)</c:formatCode>
                <c:ptCount val="17"/>
                <c:pt idx="0">
                  <c:v>299759.0</c:v>
                </c:pt>
                <c:pt idx="1">
                  <c:v>288309.0</c:v>
                </c:pt>
                <c:pt idx="2">
                  <c:v>278668.0</c:v>
                </c:pt>
                <c:pt idx="3">
                  <c:v>326071.0</c:v>
                </c:pt>
                <c:pt idx="4">
                  <c:v>315990.0</c:v>
                </c:pt>
                <c:pt idx="5">
                  <c:v>306844.0</c:v>
                </c:pt>
                <c:pt idx="6">
                  <c:v>363176.0</c:v>
                </c:pt>
                <c:pt idx="7">
                  <c:v>363089.0</c:v>
                </c:pt>
                <c:pt idx="8">
                  <c:v>387329.0</c:v>
                </c:pt>
                <c:pt idx="9">
                  <c:v>336055.0</c:v>
                </c:pt>
                <c:pt idx="10">
                  <c:v>418280.0</c:v>
                </c:pt>
                <c:pt idx="11">
                  <c:v>508329.0</c:v>
                </c:pt>
                <c:pt idx="12">
                  <c:v>530266.0</c:v>
                </c:pt>
                <c:pt idx="13">
                  <c:v>595737.0</c:v>
                </c:pt>
                <c:pt idx="14">
                  <c:v>576631.0</c:v>
                </c:pt>
                <c:pt idx="15">
                  <c:v>654406.0</c:v>
                </c:pt>
                <c:pt idx="16">
                  <c:v>678666.0</c:v>
                </c:pt>
              </c:numCache>
            </c:numRef>
          </c:val>
          <c:smooth val="0"/>
        </c:ser>
        <c:ser>
          <c:idx val="4"/>
          <c:order val="4"/>
          <c:tx>
            <c:v>B.C.</c:v>
          </c:tx>
          <c:marker>
            <c:symbol val="none"/>
          </c:marker>
          <c:cat>
            <c:numRef>
              <c:f>'Hatchery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'Hatchery trends'!$C$4:$C$20</c:f>
              <c:numCache>
                <c:formatCode>_(* #,##0_);_(* \(#,##0\);_(* "-"??_);_(@_)</c:formatCode>
                <c:ptCount val="17"/>
                <c:pt idx="0">
                  <c:v>140264.0</c:v>
                </c:pt>
                <c:pt idx="1">
                  <c:v>149514.0</c:v>
                </c:pt>
                <c:pt idx="2">
                  <c:v>171977.0</c:v>
                </c:pt>
                <c:pt idx="3">
                  <c:v>124109.0</c:v>
                </c:pt>
                <c:pt idx="4">
                  <c:v>75803.0</c:v>
                </c:pt>
                <c:pt idx="5">
                  <c:v>152189.0</c:v>
                </c:pt>
                <c:pt idx="6">
                  <c:v>137736.0</c:v>
                </c:pt>
                <c:pt idx="7">
                  <c:v>104987.0</c:v>
                </c:pt>
                <c:pt idx="8">
                  <c:v>131787.0</c:v>
                </c:pt>
                <c:pt idx="9">
                  <c:v>121157.0</c:v>
                </c:pt>
                <c:pt idx="10">
                  <c:v>141719.0</c:v>
                </c:pt>
                <c:pt idx="11">
                  <c:v>81829.0</c:v>
                </c:pt>
                <c:pt idx="12">
                  <c:v>78770.0</c:v>
                </c:pt>
                <c:pt idx="13">
                  <c:v>64342.0</c:v>
                </c:pt>
                <c:pt idx="14">
                  <c:v>56868.0</c:v>
                </c:pt>
                <c:pt idx="15">
                  <c:v>103001.0</c:v>
                </c:pt>
                <c:pt idx="16">
                  <c:v>94092.0</c:v>
                </c:pt>
              </c:numCache>
            </c:numRef>
          </c:val>
          <c:smooth val="0"/>
        </c:ser>
        <c:ser>
          <c:idx val="5"/>
          <c:order val="5"/>
          <c:tx>
            <c:v>PNW</c:v>
          </c:tx>
          <c:marker>
            <c:symbol val="none"/>
          </c:marker>
          <c:cat>
            <c:numRef>
              <c:f>'Hatchery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'Hatchery trends'!$D$4:$D$20</c:f>
              <c:numCache>
                <c:formatCode>_(* #,##0_);_(* \(#,##0\);_(* "-"??_);_(@_)</c:formatCode>
                <c:ptCount val="17"/>
                <c:pt idx="0">
                  <c:v>46790.0</c:v>
                </c:pt>
                <c:pt idx="1">
                  <c:v>44960.0</c:v>
                </c:pt>
                <c:pt idx="2">
                  <c:v>59940.0</c:v>
                </c:pt>
                <c:pt idx="3">
                  <c:v>38770.0</c:v>
                </c:pt>
                <c:pt idx="4">
                  <c:v>28420.0</c:v>
                </c:pt>
                <c:pt idx="5">
                  <c:v>57330.0</c:v>
                </c:pt>
                <c:pt idx="6">
                  <c:v>56690.0</c:v>
                </c:pt>
                <c:pt idx="7">
                  <c:v>51730.0</c:v>
                </c:pt>
                <c:pt idx="8">
                  <c:v>47800.0</c:v>
                </c:pt>
                <c:pt idx="9">
                  <c:v>37600.0</c:v>
                </c:pt>
                <c:pt idx="10">
                  <c:v>48850.0</c:v>
                </c:pt>
                <c:pt idx="11">
                  <c:v>36110.0</c:v>
                </c:pt>
                <c:pt idx="12">
                  <c:v>25530.0</c:v>
                </c:pt>
                <c:pt idx="13">
                  <c:v>36730.0</c:v>
                </c:pt>
                <c:pt idx="14">
                  <c:v>48693.0</c:v>
                </c:pt>
                <c:pt idx="15">
                  <c:v>51930.0</c:v>
                </c:pt>
                <c:pt idx="16">
                  <c:v>46227.0</c:v>
                </c:pt>
              </c:numCache>
            </c:numRef>
          </c:val>
          <c:smooth val="0"/>
        </c:ser>
        <c:dLbls>
          <c:showLegendKey val="0"/>
          <c:showVal val="0"/>
          <c:showCatName val="0"/>
          <c:showSerName val="0"/>
          <c:showPercent val="0"/>
          <c:showBubbleSize val="0"/>
        </c:dLbls>
        <c:marker val="1"/>
        <c:smooth val="0"/>
        <c:axId val="2101720728"/>
        <c:axId val="2101723896"/>
      </c:lineChart>
      <c:catAx>
        <c:axId val="2101720728"/>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2101723896"/>
        <c:crosses val="autoZero"/>
        <c:auto val="1"/>
        <c:lblAlgn val="ctr"/>
        <c:lblOffset val="100"/>
        <c:noMultiLvlLbl val="0"/>
      </c:catAx>
      <c:valAx>
        <c:axId val="2101723896"/>
        <c:scaling>
          <c:orientation val="minMax"/>
        </c:scaling>
        <c:delete val="0"/>
        <c:axPos val="l"/>
        <c:majorGridlines/>
        <c:numFmt formatCode="#,##0" sourceLinked="0"/>
        <c:majorTickMark val="out"/>
        <c:minorTickMark val="none"/>
        <c:tickLblPos val="nextTo"/>
        <c:crossAx val="2101720728"/>
        <c:crosses val="autoZero"/>
        <c:crossBetween val="between"/>
      </c:valAx>
    </c:plotArea>
    <c:legend>
      <c:legendPos val="r"/>
      <c:layout>
        <c:manualLayout>
          <c:xMode val="edge"/>
          <c:yMode val="edge"/>
          <c:x val="0.77893614438255"/>
          <c:y val="0.171110929786626"/>
          <c:w val="0.203468463521854"/>
          <c:h val="0.721354493900697"/>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baseline="0"/>
              <a:t>Hatchery Pink Salmon Releases 1997-2013 (thousands of fry or smolt)</a:t>
            </a:r>
            <a:endParaRPr lang="en-US" sz="1000"/>
          </a:p>
        </c:rich>
      </c:tx>
      <c:layout>
        <c:manualLayout>
          <c:xMode val="edge"/>
          <c:yMode val="edge"/>
          <c:x val="0.0636546935986133"/>
          <c:y val="0.0155440414507772"/>
        </c:manualLayout>
      </c:layout>
      <c:overlay val="0"/>
    </c:title>
    <c:autoTitleDeleted val="0"/>
    <c:plotArea>
      <c:layout>
        <c:manualLayout>
          <c:layoutTarget val="inner"/>
          <c:xMode val="edge"/>
          <c:yMode val="edge"/>
          <c:x val="0.151723472930118"/>
          <c:y val="0.214507772020725"/>
          <c:w val="0.621226972796625"/>
          <c:h val="0.610190118722206"/>
        </c:manualLayout>
      </c:layout>
      <c:lineChart>
        <c:grouping val="standard"/>
        <c:varyColors val="0"/>
        <c:ser>
          <c:idx val="0"/>
          <c:order val="0"/>
          <c:tx>
            <c:v>Total</c:v>
          </c:tx>
          <c:marker>
            <c:symbol val="none"/>
          </c:marker>
          <c:cat>
            <c:numRef>
              <c:f>'Hatchery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'Hatchery trends'!$M$4:$M$20</c:f>
              <c:numCache>
                <c:formatCode>_(* #,##0_);_(* \(#,##0\);_(* "-"??_);_(@_)</c:formatCode>
                <c:ptCount val="17"/>
                <c:pt idx="0">
                  <c:v>1.233854E6</c:v>
                </c:pt>
                <c:pt idx="1">
                  <c:v>1.372101E6</c:v>
                </c:pt>
                <c:pt idx="2">
                  <c:v>1.302057E6</c:v>
                </c:pt>
                <c:pt idx="3">
                  <c:v>1.376053E6</c:v>
                </c:pt>
                <c:pt idx="4">
                  <c:v>1.368424E6</c:v>
                </c:pt>
                <c:pt idx="5">
                  <c:v>1.454594E6</c:v>
                </c:pt>
                <c:pt idx="6">
                  <c:v>1.359615E6</c:v>
                </c:pt>
                <c:pt idx="7">
                  <c:v>1.420427E6</c:v>
                </c:pt>
                <c:pt idx="8">
                  <c:v>1.244217E6</c:v>
                </c:pt>
                <c:pt idx="9">
                  <c:v>1.300541E6</c:v>
                </c:pt>
                <c:pt idx="10">
                  <c:v>1.425976E6</c:v>
                </c:pt>
                <c:pt idx="11">
                  <c:v>1.388443E6</c:v>
                </c:pt>
                <c:pt idx="12">
                  <c:v>1.333954E6</c:v>
                </c:pt>
                <c:pt idx="13">
                  <c:v>1.445191E6</c:v>
                </c:pt>
                <c:pt idx="14">
                  <c:v>1.383724E6</c:v>
                </c:pt>
                <c:pt idx="15">
                  <c:v>1.337188E6</c:v>
                </c:pt>
                <c:pt idx="16">
                  <c:v>1.255194E6</c:v>
                </c:pt>
              </c:numCache>
            </c:numRef>
          </c:val>
          <c:smooth val="0"/>
        </c:ser>
        <c:ser>
          <c:idx val="2"/>
          <c:order val="1"/>
          <c:tx>
            <c:v>Alaska</c:v>
          </c:tx>
          <c:marker>
            <c:symbol val="none"/>
          </c:marker>
          <c:cat>
            <c:numRef>
              <c:f>'Hatchery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'Hatchery trends'!$H$4:$H$20</c:f>
              <c:numCache>
                <c:formatCode>_(* #,##0_);_(* \(#,##0\);_(* "-"??_);_(@_)</c:formatCode>
                <c:ptCount val="17"/>
                <c:pt idx="0">
                  <c:v>773270.0</c:v>
                </c:pt>
                <c:pt idx="1">
                  <c:v>872530.0</c:v>
                </c:pt>
                <c:pt idx="2">
                  <c:v>877770.0</c:v>
                </c:pt>
                <c:pt idx="3">
                  <c:v>883720.0</c:v>
                </c:pt>
                <c:pt idx="4">
                  <c:v>942210.0</c:v>
                </c:pt>
                <c:pt idx="5">
                  <c:v>938200.0</c:v>
                </c:pt>
                <c:pt idx="6">
                  <c:v>962470.0</c:v>
                </c:pt>
                <c:pt idx="7">
                  <c:v>961340.0</c:v>
                </c:pt>
                <c:pt idx="8">
                  <c:v>808410.0</c:v>
                </c:pt>
                <c:pt idx="9">
                  <c:v>808650.0</c:v>
                </c:pt>
                <c:pt idx="10">
                  <c:v>857650.0</c:v>
                </c:pt>
                <c:pt idx="11">
                  <c:v>822840.0</c:v>
                </c:pt>
                <c:pt idx="12">
                  <c:v>817870.0</c:v>
                </c:pt>
                <c:pt idx="13">
                  <c:v>855460.0</c:v>
                </c:pt>
                <c:pt idx="14">
                  <c:v>882810.0</c:v>
                </c:pt>
                <c:pt idx="15">
                  <c:v>942920.0</c:v>
                </c:pt>
                <c:pt idx="16">
                  <c:v>798090.0</c:v>
                </c:pt>
              </c:numCache>
            </c:numRef>
          </c:val>
          <c:smooth val="0"/>
        </c:ser>
        <c:ser>
          <c:idx val="3"/>
          <c:order val="2"/>
          <c:tx>
            <c:v>Russia</c:v>
          </c:tx>
          <c:marker>
            <c:symbol val="none"/>
          </c:marker>
          <c:cat>
            <c:numRef>
              <c:f>'Hatchery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'Hatchery trends'!$L$4:$L$20</c:f>
              <c:numCache>
                <c:formatCode>_(* #,##0_);_(* \(#,##0\);_(* "-"??_);_(@_)</c:formatCode>
                <c:ptCount val="17"/>
                <c:pt idx="0">
                  <c:v>308750.0</c:v>
                </c:pt>
                <c:pt idx="1">
                  <c:v>317860.0</c:v>
                </c:pt>
                <c:pt idx="2">
                  <c:v>268443.0</c:v>
                </c:pt>
                <c:pt idx="3">
                  <c:v>337847.0</c:v>
                </c:pt>
                <c:pt idx="4">
                  <c:v>270298.0</c:v>
                </c:pt>
                <c:pt idx="5">
                  <c:v>349486.0</c:v>
                </c:pt>
                <c:pt idx="6">
                  <c:v>236521.0</c:v>
                </c:pt>
                <c:pt idx="7">
                  <c:v>295824.0</c:v>
                </c:pt>
                <c:pt idx="8">
                  <c:v>278183.0</c:v>
                </c:pt>
                <c:pt idx="9">
                  <c:v>323667.0</c:v>
                </c:pt>
                <c:pt idx="10">
                  <c:v>405538.0</c:v>
                </c:pt>
                <c:pt idx="11">
                  <c:v>401031.0</c:v>
                </c:pt>
                <c:pt idx="12">
                  <c:v>351412.0</c:v>
                </c:pt>
                <c:pt idx="13">
                  <c:v>418690.0</c:v>
                </c:pt>
                <c:pt idx="14">
                  <c:v>338518.0</c:v>
                </c:pt>
                <c:pt idx="15">
                  <c:v>233255.0</c:v>
                </c:pt>
                <c:pt idx="16">
                  <c:v>341656.0</c:v>
                </c:pt>
              </c:numCache>
            </c:numRef>
          </c:val>
          <c:smooth val="0"/>
        </c:ser>
        <c:ser>
          <c:idx val="1"/>
          <c:order val="3"/>
          <c:tx>
            <c:v>Japan</c:v>
          </c:tx>
          <c:marker>
            <c:symbol val="none"/>
          </c:marker>
          <c:cat>
            <c:numRef>
              <c:f>'Hatchery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'Hatchery trends'!$K$4:$K$20</c:f>
              <c:numCache>
                <c:formatCode>_(* #,##0_);_(* \(#,##0\);_(* "-"??_);_(@_)</c:formatCode>
                <c:ptCount val="17"/>
                <c:pt idx="0">
                  <c:v>136706.0</c:v>
                </c:pt>
                <c:pt idx="1">
                  <c:v>140552.0</c:v>
                </c:pt>
                <c:pt idx="2">
                  <c:v>142089.0</c:v>
                </c:pt>
                <c:pt idx="3">
                  <c:v>139069.0</c:v>
                </c:pt>
                <c:pt idx="4">
                  <c:v>142724.0</c:v>
                </c:pt>
                <c:pt idx="5">
                  <c:v>144782.0</c:v>
                </c:pt>
                <c:pt idx="6">
                  <c:v>144028.0</c:v>
                </c:pt>
                <c:pt idx="7">
                  <c:v>145095.0</c:v>
                </c:pt>
                <c:pt idx="8">
                  <c:v>145903.0</c:v>
                </c:pt>
                <c:pt idx="9">
                  <c:v>147204.0</c:v>
                </c:pt>
                <c:pt idx="10">
                  <c:v>151239.0</c:v>
                </c:pt>
                <c:pt idx="11">
                  <c:v>141811.0</c:v>
                </c:pt>
                <c:pt idx="12">
                  <c:v>149774.0</c:v>
                </c:pt>
                <c:pt idx="13">
                  <c:v>144686.0</c:v>
                </c:pt>
                <c:pt idx="14">
                  <c:v>147605.0</c:v>
                </c:pt>
                <c:pt idx="15">
                  <c:v>137771.0</c:v>
                </c:pt>
                <c:pt idx="16">
                  <c:v>101622.0</c:v>
                </c:pt>
              </c:numCache>
            </c:numRef>
          </c:val>
          <c:smooth val="0"/>
        </c:ser>
        <c:ser>
          <c:idx val="4"/>
          <c:order val="4"/>
          <c:tx>
            <c:v>B.C.</c:v>
          </c:tx>
          <c:marker>
            <c:symbol val="none"/>
          </c:marker>
          <c:cat>
            <c:numRef>
              <c:f>'Hatchery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'Hatchery trends'!$I$4:$I$20</c:f>
              <c:numCache>
                <c:formatCode>_(* #,##0_);_(* \(#,##0\);_(* "-"??_);_(@_)</c:formatCode>
                <c:ptCount val="17"/>
                <c:pt idx="0">
                  <c:v>15128.0</c:v>
                </c:pt>
                <c:pt idx="1">
                  <c:v>36079.0</c:v>
                </c:pt>
                <c:pt idx="2">
                  <c:v>13745.0</c:v>
                </c:pt>
                <c:pt idx="3">
                  <c:v>13787.0</c:v>
                </c:pt>
                <c:pt idx="4">
                  <c:v>13192.0</c:v>
                </c:pt>
                <c:pt idx="5">
                  <c:v>20836.0</c:v>
                </c:pt>
                <c:pt idx="6">
                  <c:v>16596.0</c:v>
                </c:pt>
                <c:pt idx="7">
                  <c:v>17048.0</c:v>
                </c:pt>
                <c:pt idx="8">
                  <c:v>11721.0</c:v>
                </c:pt>
                <c:pt idx="9">
                  <c:v>20130.0</c:v>
                </c:pt>
                <c:pt idx="10">
                  <c:v>11549.0</c:v>
                </c:pt>
                <c:pt idx="11">
                  <c:v>22231.0</c:v>
                </c:pt>
                <c:pt idx="12">
                  <c:v>14898.0</c:v>
                </c:pt>
                <c:pt idx="13">
                  <c:v>25685.0</c:v>
                </c:pt>
                <c:pt idx="14">
                  <c:v>14791.0</c:v>
                </c:pt>
                <c:pt idx="15">
                  <c:v>22532.0</c:v>
                </c:pt>
                <c:pt idx="16">
                  <c:v>13826.0</c:v>
                </c:pt>
              </c:numCache>
            </c:numRef>
          </c:val>
          <c:smooth val="0"/>
        </c:ser>
        <c:ser>
          <c:idx val="5"/>
          <c:order val="5"/>
          <c:tx>
            <c:v>PNW</c:v>
          </c:tx>
          <c:marker>
            <c:symbol val="none"/>
          </c:marker>
          <c:cat>
            <c:numRef>
              <c:f>'Hatchery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'Hatchery trends'!$J$4:$J$20</c:f>
              <c:numCache>
                <c:formatCode>_(* #,##0_);_(* \(#,##0\);_(* "-"??_);_(@_)</c:formatCode>
                <c:ptCount val="17"/>
                <c:pt idx="0">
                  <c:v>0.0</c:v>
                </c:pt>
                <c:pt idx="1">
                  <c:v>5080.0</c:v>
                </c:pt>
                <c:pt idx="2">
                  <c:v>10.0</c:v>
                </c:pt>
                <c:pt idx="3">
                  <c:v>1630.0</c:v>
                </c:pt>
                <c:pt idx="4">
                  <c:v>0.0</c:v>
                </c:pt>
                <c:pt idx="5">
                  <c:v>1290.0</c:v>
                </c:pt>
                <c:pt idx="6">
                  <c:v>0.0</c:v>
                </c:pt>
                <c:pt idx="7">
                  <c:v>1120.0</c:v>
                </c:pt>
                <c:pt idx="8">
                  <c:v>0.0</c:v>
                </c:pt>
                <c:pt idx="9">
                  <c:v>890.0</c:v>
                </c:pt>
                <c:pt idx="10">
                  <c:v>0.0</c:v>
                </c:pt>
                <c:pt idx="11">
                  <c:v>530.0</c:v>
                </c:pt>
                <c:pt idx="12">
                  <c:v>0.0</c:v>
                </c:pt>
                <c:pt idx="13">
                  <c:v>670.0</c:v>
                </c:pt>
                <c:pt idx="14">
                  <c:v>0.0</c:v>
                </c:pt>
                <c:pt idx="15">
                  <c:v>710.0</c:v>
                </c:pt>
                <c:pt idx="16">
                  <c:v>0.0</c:v>
                </c:pt>
              </c:numCache>
            </c:numRef>
          </c:val>
          <c:smooth val="0"/>
        </c:ser>
        <c:dLbls>
          <c:showLegendKey val="0"/>
          <c:showVal val="0"/>
          <c:showCatName val="0"/>
          <c:showSerName val="0"/>
          <c:showPercent val="0"/>
          <c:showBubbleSize val="0"/>
        </c:dLbls>
        <c:marker val="1"/>
        <c:smooth val="0"/>
        <c:axId val="2102463176"/>
        <c:axId val="2102466376"/>
      </c:lineChart>
      <c:catAx>
        <c:axId val="2102463176"/>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2102466376"/>
        <c:crosses val="autoZero"/>
        <c:auto val="1"/>
        <c:lblAlgn val="ctr"/>
        <c:lblOffset val="100"/>
        <c:noMultiLvlLbl val="0"/>
      </c:catAx>
      <c:valAx>
        <c:axId val="2102466376"/>
        <c:scaling>
          <c:orientation val="minMax"/>
        </c:scaling>
        <c:delete val="0"/>
        <c:axPos val="l"/>
        <c:majorGridlines/>
        <c:numFmt formatCode="#,##0" sourceLinked="0"/>
        <c:majorTickMark val="out"/>
        <c:minorTickMark val="none"/>
        <c:tickLblPos val="nextTo"/>
        <c:crossAx val="2102463176"/>
        <c:crosses val="autoZero"/>
        <c:crossBetween val="between"/>
      </c:valAx>
    </c:plotArea>
    <c:legend>
      <c:legendPos val="r"/>
      <c:layout>
        <c:manualLayout>
          <c:xMode val="edge"/>
          <c:yMode val="edge"/>
          <c:x val="0.791397208526504"/>
          <c:y val="0.171110798650169"/>
          <c:w val="0.203468463521854"/>
          <c:h val="0.721354493900697"/>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baseline="0"/>
              <a:t>Hatchery Coho Salmon Releases 1997-2013 (thousands of fry or smolt)</a:t>
            </a:r>
            <a:endParaRPr lang="en-US" sz="1000"/>
          </a:p>
        </c:rich>
      </c:tx>
      <c:layout>
        <c:manualLayout>
          <c:xMode val="edge"/>
          <c:yMode val="edge"/>
          <c:x val="0.0636546935986133"/>
          <c:y val="0.0155440414507772"/>
        </c:manualLayout>
      </c:layout>
      <c:overlay val="0"/>
    </c:title>
    <c:autoTitleDeleted val="0"/>
    <c:plotArea>
      <c:layout>
        <c:manualLayout>
          <c:layoutTarget val="inner"/>
          <c:xMode val="edge"/>
          <c:yMode val="edge"/>
          <c:x val="0.151723472930118"/>
          <c:y val="0.214507772020725"/>
          <c:w val="0.621226972796625"/>
          <c:h val="0.610190118722206"/>
        </c:manualLayout>
      </c:layout>
      <c:lineChart>
        <c:grouping val="standard"/>
        <c:varyColors val="0"/>
        <c:ser>
          <c:idx val="0"/>
          <c:order val="0"/>
          <c:tx>
            <c:v>Total</c:v>
          </c:tx>
          <c:marker>
            <c:symbol val="none"/>
          </c:marker>
          <c:val>
            <c:numRef>
              <c:f>'Hatchery trends'!$R$4:$R$20</c:f>
              <c:numCache>
                <c:formatCode>_(* #,##0_);_(* \(#,##0\);_(* "-"??_);_(@_)</c:formatCode>
                <c:ptCount val="17"/>
                <c:pt idx="0">
                  <c:v>110581.0</c:v>
                </c:pt>
                <c:pt idx="1">
                  <c:v>104803.0</c:v>
                </c:pt>
                <c:pt idx="2">
                  <c:v>110070.0</c:v>
                </c:pt>
                <c:pt idx="3">
                  <c:v>96456.0</c:v>
                </c:pt>
                <c:pt idx="4">
                  <c:v>99037.0</c:v>
                </c:pt>
                <c:pt idx="5">
                  <c:v>95017.0</c:v>
                </c:pt>
                <c:pt idx="6">
                  <c:v>89135.0</c:v>
                </c:pt>
                <c:pt idx="7">
                  <c:v>95472.0</c:v>
                </c:pt>
                <c:pt idx="8">
                  <c:v>86722.0</c:v>
                </c:pt>
                <c:pt idx="9">
                  <c:v>74603.0</c:v>
                </c:pt>
                <c:pt idx="10">
                  <c:v>85548.0</c:v>
                </c:pt>
                <c:pt idx="11">
                  <c:v>83740.0</c:v>
                </c:pt>
                <c:pt idx="12">
                  <c:v>63950.0</c:v>
                </c:pt>
                <c:pt idx="13">
                  <c:v>86851.0</c:v>
                </c:pt>
                <c:pt idx="14">
                  <c:v>86172.0</c:v>
                </c:pt>
                <c:pt idx="15">
                  <c:v>79120.0</c:v>
                </c:pt>
                <c:pt idx="16">
                  <c:v>78762.0</c:v>
                </c:pt>
              </c:numCache>
            </c:numRef>
          </c:val>
          <c:smooth val="0"/>
        </c:ser>
        <c:ser>
          <c:idx val="5"/>
          <c:order val="1"/>
          <c:tx>
            <c:v>PNW</c:v>
          </c:tx>
          <c:marker>
            <c:symbol val="none"/>
          </c:marker>
          <c:val>
            <c:numRef>
              <c:f>'Hatchery trends'!$P$4:$P$20</c:f>
              <c:numCache>
                <c:formatCode>_(* #,##0_);_(* \(#,##0\);_(* "-"??_);_(@_)</c:formatCode>
                <c:ptCount val="17"/>
                <c:pt idx="0">
                  <c:v>63610.0</c:v>
                </c:pt>
                <c:pt idx="1">
                  <c:v>63140.0</c:v>
                </c:pt>
                <c:pt idx="2">
                  <c:v>65970.0</c:v>
                </c:pt>
                <c:pt idx="3">
                  <c:v>53710.0</c:v>
                </c:pt>
                <c:pt idx="4">
                  <c:v>53970.0</c:v>
                </c:pt>
                <c:pt idx="5">
                  <c:v>52240.0</c:v>
                </c:pt>
                <c:pt idx="6">
                  <c:v>46030.0</c:v>
                </c:pt>
                <c:pt idx="7">
                  <c:v>45370.0</c:v>
                </c:pt>
                <c:pt idx="8">
                  <c:v>42020.0</c:v>
                </c:pt>
                <c:pt idx="9">
                  <c:v>38440.0</c:v>
                </c:pt>
                <c:pt idx="10">
                  <c:v>42440.0</c:v>
                </c:pt>
                <c:pt idx="11">
                  <c:v>42530.0</c:v>
                </c:pt>
                <c:pt idx="12">
                  <c:v>23890.0</c:v>
                </c:pt>
                <c:pt idx="13">
                  <c:v>37230.0</c:v>
                </c:pt>
                <c:pt idx="14">
                  <c:v>38629.0</c:v>
                </c:pt>
                <c:pt idx="15">
                  <c:v>37450.0</c:v>
                </c:pt>
                <c:pt idx="16">
                  <c:v>35826.0</c:v>
                </c:pt>
              </c:numCache>
            </c:numRef>
          </c:val>
          <c:smooth val="0"/>
        </c:ser>
        <c:ser>
          <c:idx val="2"/>
          <c:order val="2"/>
          <c:tx>
            <c:v>Alaska</c:v>
          </c:tx>
          <c:marker>
            <c:symbol val="none"/>
          </c:marker>
          <c:val>
            <c:numRef>
              <c:f>'Hatchery trends'!$N$4:$N$20</c:f>
              <c:numCache>
                <c:formatCode>_(* #,##0_);_(* \(#,##0\);_(* "-"??_);_(@_)</c:formatCode>
                <c:ptCount val="17"/>
                <c:pt idx="0">
                  <c:v>23190.0</c:v>
                </c:pt>
                <c:pt idx="1">
                  <c:v>21550.0</c:v>
                </c:pt>
                <c:pt idx="2">
                  <c:v>22030.0</c:v>
                </c:pt>
                <c:pt idx="3">
                  <c:v>19300.0</c:v>
                </c:pt>
                <c:pt idx="4">
                  <c:v>21010.0</c:v>
                </c:pt>
                <c:pt idx="5">
                  <c:v>20400.0</c:v>
                </c:pt>
                <c:pt idx="6">
                  <c:v>20880.0</c:v>
                </c:pt>
                <c:pt idx="7">
                  <c:v>22800.0</c:v>
                </c:pt>
                <c:pt idx="8">
                  <c:v>21310.0</c:v>
                </c:pt>
                <c:pt idx="9">
                  <c:v>22670.0</c:v>
                </c:pt>
                <c:pt idx="10">
                  <c:v>25700.0</c:v>
                </c:pt>
                <c:pt idx="11">
                  <c:v>24910.0</c:v>
                </c:pt>
                <c:pt idx="12">
                  <c:v>23490.0</c:v>
                </c:pt>
                <c:pt idx="13">
                  <c:v>28500.0</c:v>
                </c:pt>
                <c:pt idx="14">
                  <c:v>29430.0</c:v>
                </c:pt>
                <c:pt idx="15">
                  <c:v>24690.0</c:v>
                </c:pt>
                <c:pt idx="16">
                  <c:v>28190.0</c:v>
                </c:pt>
              </c:numCache>
            </c:numRef>
          </c:val>
          <c:smooth val="0"/>
        </c:ser>
        <c:ser>
          <c:idx val="4"/>
          <c:order val="3"/>
          <c:tx>
            <c:v>B.C.</c:v>
          </c:tx>
          <c:marker>
            <c:symbol val="none"/>
          </c:marker>
          <c:val>
            <c:numRef>
              <c:f>'Hatchery trends'!$O$4:$O$20</c:f>
              <c:numCache>
                <c:formatCode>_(* #,##0_);_(* \(#,##0\);_(* "-"??_);_(@_)</c:formatCode>
                <c:ptCount val="17"/>
                <c:pt idx="0">
                  <c:v>19190.0</c:v>
                </c:pt>
                <c:pt idx="1">
                  <c:v>16990.0</c:v>
                </c:pt>
                <c:pt idx="2">
                  <c:v>20734.0</c:v>
                </c:pt>
                <c:pt idx="3">
                  <c:v>22756.0</c:v>
                </c:pt>
                <c:pt idx="4">
                  <c:v>21512.0</c:v>
                </c:pt>
                <c:pt idx="5">
                  <c:v>20460.0</c:v>
                </c:pt>
                <c:pt idx="6">
                  <c:v>18774.0</c:v>
                </c:pt>
                <c:pt idx="7">
                  <c:v>15454.0</c:v>
                </c:pt>
                <c:pt idx="8">
                  <c:v>16548.0</c:v>
                </c:pt>
                <c:pt idx="9">
                  <c:v>11575.0</c:v>
                </c:pt>
                <c:pt idx="10">
                  <c:v>10950.0</c:v>
                </c:pt>
                <c:pt idx="11">
                  <c:v>11315.0</c:v>
                </c:pt>
                <c:pt idx="12">
                  <c:v>13434.0</c:v>
                </c:pt>
                <c:pt idx="13">
                  <c:v>15011.0</c:v>
                </c:pt>
                <c:pt idx="14">
                  <c:v>14005.0</c:v>
                </c:pt>
                <c:pt idx="15">
                  <c:v>12156.0</c:v>
                </c:pt>
                <c:pt idx="16">
                  <c:v>10700.0</c:v>
                </c:pt>
              </c:numCache>
            </c:numRef>
          </c:val>
          <c:smooth val="0"/>
        </c:ser>
        <c:ser>
          <c:idx val="3"/>
          <c:order val="4"/>
          <c:tx>
            <c:v>Russia</c:v>
          </c:tx>
          <c:marker>
            <c:symbol val="none"/>
          </c:marker>
          <c:val>
            <c:numRef>
              <c:f>'Hatchery trends'!$Q$4:$Q$20</c:f>
              <c:numCache>
                <c:formatCode>_(* #,##0_);_(* \(#,##0\);_(* "-"??_);_(@_)</c:formatCode>
                <c:ptCount val="17"/>
                <c:pt idx="0">
                  <c:v>4591.0</c:v>
                </c:pt>
                <c:pt idx="1">
                  <c:v>3123.0</c:v>
                </c:pt>
                <c:pt idx="2">
                  <c:v>1336.0</c:v>
                </c:pt>
                <c:pt idx="3">
                  <c:v>690.0</c:v>
                </c:pt>
                <c:pt idx="4">
                  <c:v>2545.0</c:v>
                </c:pt>
                <c:pt idx="5">
                  <c:v>1917.0</c:v>
                </c:pt>
                <c:pt idx="6">
                  <c:v>3451.0</c:v>
                </c:pt>
                <c:pt idx="7">
                  <c:v>11848.0</c:v>
                </c:pt>
                <c:pt idx="8">
                  <c:v>6844.0</c:v>
                </c:pt>
                <c:pt idx="9">
                  <c:v>1918.0</c:v>
                </c:pt>
                <c:pt idx="10">
                  <c:v>6458.0</c:v>
                </c:pt>
                <c:pt idx="11">
                  <c:v>4985.0</c:v>
                </c:pt>
                <c:pt idx="12">
                  <c:v>3136.0</c:v>
                </c:pt>
                <c:pt idx="13">
                  <c:v>6110.0</c:v>
                </c:pt>
                <c:pt idx="14">
                  <c:v>4108.0</c:v>
                </c:pt>
                <c:pt idx="15">
                  <c:v>4824.0</c:v>
                </c:pt>
                <c:pt idx="16">
                  <c:v>4046.0</c:v>
                </c:pt>
              </c:numCache>
            </c:numRef>
          </c:val>
          <c:smooth val="0"/>
        </c:ser>
        <c:dLbls>
          <c:showLegendKey val="0"/>
          <c:showVal val="0"/>
          <c:showCatName val="0"/>
          <c:showSerName val="0"/>
          <c:showPercent val="0"/>
          <c:showBubbleSize val="0"/>
        </c:dLbls>
        <c:marker val="1"/>
        <c:smooth val="0"/>
        <c:axId val="2100492280"/>
        <c:axId val="2101734120"/>
      </c:lineChart>
      <c:catAx>
        <c:axId val="2100492280"/>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2101734120"/>
        <c:crosses val="autoZero"/>
        <c:auto val="1"/>
        <c:lblAlgn val="ctr"/>
        <c:lblOffset val="100"/>
        <c:noMultiLvlLbl val="0"/>
      </c:catAx>
      <c:valAx>
        <c:axId val="2101734120"/>
        <c:scaling>
          <c:orientation val="minMax"/>
        </c:scaling>
        <c:delete val="0"/>
        <c:axPos val="l"/>
        <c:majorGridlines/>
        <c:numFmt formatCode="#,##0" sourceLinked="0"/>
        <c:majorTickMark val="out"/>
        <c:minorTickMark val="none"/>
        <c:tickLblPos val="nextTo"/>
        <c:crossAx val="2100492280"/>
        <c:crosses val="autoZero"/>
        <c:crossBetween val="between"/>
      </c:valAx>
    </c:plotArea>
    <c:legend>
      <c:legendPos val="r"/>
      <c:layout>
        <c:manualLayout>
          <c:xMode val="edge"/>
          <c:yMode val="edge"/>
          <c:x val="0.791397208526504"/>
          <c:y val="0.171110798650169"/>
          <c:w val="0.203468463521854"/>
          <c:h val="0.721354493900697"/>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baseline="0"/>
              <a:t>Hatchery Chinook Salmon Releases 1997-2013 (thousands of fry or smolt)</a:t>
            </a:r>
            <a:endParaRPr lang="en-US" sz="1000"/>
          </a:p>
        </c:rich>
      </c:tx>
      <c:layout>
        <c:manualLayout>
          <c:xMode val="edge"/>
          <c:yMode val="edge"/>
          <c:x val="0.0636546935986133"/>
          <c:y val="0.0155440414507772"/>
        </c:manualLayout>
      </c:layout>
      <c:overlay val="0"/>
    </c:title>
    <c:autoTitleDeleted val="0"/>
    <c:plotArea>
      <c:layout>
        <c:manualLayout>
          <c:layoutTarget val="inner"/>
          <c:xMode val="edge"/>
          <c:yMode val="edge"/>
          <c:x val="0.151723472930118"/>
          <c:y val="0.214507772020725"/>
          <c:w val="0.621226972796625"/>
          <c:h val="0.610190118722206"/>
        </c:manualLayout>
      </c:layout>
      <c:lineChart>
        <c:grouping val="standard"/>
        <c:varyColors val="0"/>
        <c:ser>
          <c:idx val="0"/>
          <c:order val="0"/>
          <c:tx>
            <c:v>Total</c:v>
          </c:tx>
          <c:marker>
            <c:symbol val="none"/>
          </c:marker>
          <c:cat>
            <c:numRef>
              <c:f>'Hatchery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'Hatchery trends'!$W$4:$W$20</c:f>
              <c:numCache>
                <c:formatCode>_(* #,##0_);_(* \(#,##0\);_(* "-"??_);_(@_)</c:formatCode>
                <c:ptCount val="17"/>
                <c:pt idx="0">
                  <c:v>305926.0</c:v>
                </c:pt>
                <c:pt idx="1">
                  <c:v>292407.0</c:v>
                </c:pt>
                <c:pt idx="2">
                  <c:v>262883.0</c:v>
                </c:pt>
                <c:pt idx="3">
                  <c:v>262924.0</c:v>
                </c:pt>
                <c:pt idx="4">
                  <c:v>258091.0</c:v>
                </c:pt>
                <c:pt idx="5">
                  <c:v>261255.0</c:v>
                </c:pt>
                <c:pt idx="6">
                  <c:v>249839.0</c:v>
                </c:pt>
                <c:pt idx="7">
                  <c:v>227511.0</c:v>
                </c:pt>
                <c:pt idx="8">
                  <c:v>229184.0</c:v>
                </c:pt>
                <c:pt idx="9">
                  <c:v>223039.0</c:v>
                </c:pt>
                <c:pt idx="10">
                  <c:v>263607.0</c:v>
                </c:pt>
                <c:pt idx="11">
                  <c:v>238409.0</c:v>
                </c:pt>
                <c:pt idx="12">
                  <c:v>154851.0</c:v>
                </c:pt>
                <c:pt idx="13">
                  <c:v>258242.0</c:v>
                </c:pt>
                <c:pt idx="14">
                  <c:v>257473.0</c:v>
                </c:pt>
                <c:pt idx="15">
                  <c:v>252371.0</c:v>
                </c:pt>
                <c:pt idx="16">
                  <c:v>240125.0</c:v>
                </c:pt>
              </c:numCache>
            </c:numRef>
          </c:val>
          <c:smooth val="0"/>
        </c:ser>
        <c:ser>
          <c:idx val="5"/>
          <c:order val="1"/>
          <c:tx>
            <c:v>PNW</c:v>
          </c:tx>
          <c:marker>
            <c:symbol val="none"/>
          </c:marker>
          <c:cat>
            <c:numRef>
              <c:f>'Hatchery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'Hatchery trends'!$U$4:$U$20</c:f>
              <c:numCache>
                <c:formatCode>_(* #,##0_);_(* \(#,##0\);_(* "-"??_);_(@_)</c:formatCode>
                <c:ptCount val="17"/>
                <c:pt idx="0">
                  <c:v>239910.0</c:v>
                </c:pt>
                <c:pt idx="1">
                  <c:v>233920.0</c:v>
                </c:pt>
                <c:pt idx="2">
                  <c:v>200130.0</c:v>
                </c:pt>
                <c:pt idx="3">
                  <c:v>200290.0</c:v>
                </c:pt>
                <c:pt idx="4">
                  <c:v>202200.0</c:v>
                </c:pt>
                <c:pt idx="5">
                  <c:v>199700.0</c:v>
                </c:pt>
                <c:pt idx="6">
                  <c:v>189200.0</c:v>
                </c:pt>
                <c:pt idx="7">
                  <c:v>165290.0</c:v>
                </c:pt>
                <c:pt idx="8">
                  <c:v>174500.0</c:v>
                </c:pt>
                <c:pt idx="9">
                  <c:v>171100.0</c:v>
                </c:pt>
                <c:pt idx="10">
                  <c:v>207730.0</c:v>
                </c:pt>
                <c:pt idx="11">
                  <c:v>187010.0</c:v>
                </c:pt>
                <c:pt idx="12">
                  <c:v>100840.0</c:v>
                </c:pt>
                <c:pt idx="13">
                  <c:v>201960.0</c:v>
                </c:pt>
                <c:pt idx="14">
                  <c:v>209410.0</c:v>
                </c:pt>
                <c:pt idx="15">
                  <c:v>200340.0</c:v>
                </c:pt>
                <c:pt idx="16">
                  <c:v>191281.0</c:v>
                </c:pt>
              </c:numCache>
            </c:numRef>
          </c:val>
          <c:smooth val="0"/>
        </c:ser>
        <c:ser>
          <c:idx val="4"/>
          <c:order val="2"/>
          <c:tx>
            <c:v>B.C.</c:v>
          </c:tx>
          <c:marker>
            <c:symbol val="none"/>
          </c:marker>
          <c:cat>
            <c:numRef>
              <c:f>'Hatchery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'Hatchery trends'!$T$4:$T$20</c:f>
              <c:numCache>
                <c:formatCode>_(* #,##0_);_(* \(#,##0\);_(* "-"??_);_(@_)</c:formatCode>
                <c:ptCount val="17"/>
                <c:pt idx="0">
                  <c:v>57658.0</c:v>
                </c:pt>
                <c:pt idx="1">
                  <c:v>49500.0</c:v>
                </c:pt>
                <c:pt idx="2">
                  <c:v>54134.0</c:v>
                </c:pt>
                <c:pt idx="3">
                  <c:v>53016.0</c:v>
                </c:pt>
                <c:pt idx="4">
                  <c:v>45504.0</c:v>
                </c:pt>
                <c:pt idx="5">
                  <c:v>52948.0</c:v>
                </c:pt>
                <c:pt idx="6">
                  <c:v>50908.0</c:v>
                </c:pt>
                <c:pt idx="7">
                  <c:v>51514.0</c:v>
                </c:pt>
                <c:pt idx="8">
                  <c:v>44425.0</c:v>
                </c:pt>
                <c:pt idx="9">
                  <c:v>41010.0</c:v>
                </c:pt>
                <c:pt idx="10">
                  <c:v>44438.0</c:v>
                </c:pt>
                <c:pt idx="11">
                  <c:v>38388.0</c:v>
                </c:pt>
                <c:pt idx="12">
                  <c:v>41647.0</c:v>
                </c:pt>
                <c:pt idx="13">
                  <c:v>44085.0</c:v>
                </c:pt>
                <c:pt idx="14">
                  <c:v>38668.0</c:v>
                </c:pt>
                <c:pt idx="15">
                  <c:v>41490.0</c:v>
                </c:pt>
                <c:pt idx="16">
                  <c:v>39154.0</c:v>
                </c:pt>
              </c:numCache>
            </c:numRef>
          </c:val>
          <c:smooth val="0"/>
        </c:ser>
        <c:ser>
          <c:idx val="2"/>
          <c:order val="3"/>
          <c:tx>
            <c:v>Alaska</c:v>
          </c:tx>
          <c:marker>
            <c:symbol val="none"/>
          </c:marker>
          <c:cat>
            <c:numRef>
              <c:f>'Hatchery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'Hatchery trends'!$S$4:$S$20</c:f>
              <c:numCache>
                <c:formatCode>_(* #,##0_);_(* \(#,##0\);_(* "-"??_);_(@_)</c:formatCode>
                <c:ptCount val="17"/>
                <c:pt idx="0">
                  <c:v>7600.0</c:v>
                </c:pt>
                <c:pt idx="1">
                  <c:v>8650.0</c:v>
                </c:pt>
                <c:pt idx="2">
                  <c:v>8000.0</c:v>
                </c:pt>
                <c:pt idx="3">
                  <c:v>9190.0</c:v>
                </c:pt>
                <c:pt idx="4">
                  <c:v>9870.0</c:v>
                </c:pt>
                <c:pt idx="5">
                  <c:v>8310.0</c:v>
                </c:pt>
                <c:pt idx="6">
                  <c:v>8990.0</c:v>
                </c:pt>
                <c:pt idx="7">
                  <c:v>9530.0</c:v>
                </c:pt>
                <c:pt idx="8">
                  <c:v>9420.0</c:v>
                </c:pt>
                <c:pt idx="9">
                  <c:v>10150.0</c:v>
                </c:pt>
                <c:pt idx="10">
                  <c:v>10640.0</c:v>
                </c:pt>
                <c:pt idx="11">
                  <c:v>11470.0</c:v>
                </c:pt>
                <c:pt idx="12">
                  <c:v>11580.0</c:v>
                </c:pt>
                <c:pt idx="13">
                  <c:v>11220.0</c:v>
                </c:pt>
                <c:pt idx="14">
                  <c:v>8580.0</c:v>
                </c:pt>
                <c:pt idx="15">
                  <c:v>9630.0</c:v>
                </c:pt>
                <c:pt idx="16">
                  <c:v>8780.0</c:v>
                </c:pt>
              </c:numCache>
            </c:numRef>
          </c:val>
          <c:smooth val="0"/>
        </c:ser>
        <c:ser>
          <c:idx val="3"/>
          <c:order val="4"/>
          <c:tx>
            <c:v>Russia</c:v>
          </c:tx>
          <c:marker>
            <c:symbol val="none"/>
          </c:marker>
          <c:cat>
            <c:numRef>
              <c:f>'Hatchery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'Hatchery trends'!$V$4:$V$20</c:f>
              <c:numCache>
                <c:formatCode>_(* #,##0_);_(* \(#,##0\);_(* "-"??_);_(@_)</c:formatCode>
                <c:ptCount val="17"/>
                <c:pt idx="0">
                  <c:v>758.0</c:v>
                </c:pt>
                <c:pt idx="1">
                  <c:v>337.0</c:v>
                </c:pt>
                <c:pt idx="2">
                  <c:v>619.0</c:v>
                </c:pt>
                <c:pt idx="3">
                  <c:v>428.0</c:v>
                </c:pt>
                <c:pt idx="4">
                  <c:v>517.0</c:v>
                </c:pt>
                <c:pt idx="5">
                  <c:v>297.0</c:v>
                </c:pt>
                <c:pt idx="6">
                  <c:v>741.0</c:v>
                </c:pt>
                <c:pt idx="7">
                  <c:v>1177.0</c:v>
                </c:pt>
                <c:pt idx="8">
                  <c:v>839.0</c:v>
                </c:pt>
                <c:pt idx="9">
                  <c:v>779.0</c:v>
                </c:pt>
                <c:pt idx="10">
                  <c:v>799.0</c:v>
                </c:pt>
                <c:pt idx="11">
                  <c:v>1541.0</c:v>
                </c:pt>
                <c:pt idx="12">
                  <c:v>784.0</c:v>
                </c:pt>
                <c:pt idx="13">
                  <c:v>977.0</c:v>
                </c:pt>
                <c:pt idx="14">
                  <c:v>815.0</c:v>
                </c:pt>
                <c:pt idx="15">
                  <c:v>911.0</c:v>
                </c:pt>
                <c:pt idx="16">
                  <c:v>910.0</c:v>
                </c:pt>
              </c:numCache>
            </c:numRef>
          </c:val>
          <c:smooth val="0"/>
        </c:ser>
        <c:dLbls>
          <c:showLegendKey val="0"/>
          <c:showVal val="0"/>
          <c:showCatName val="0"/>
          <c:showSerName val="0"/>
          <c:showPercent val="0"/>
          <c:showBubbleSize val="0"/>
        </c:dLbls>
        <c:marker val="1"/>
        <c:smooth val="0"/>
        <c:axId val="2102520424"/>
        <c:axId val="2101746024"/>
      </c:lineChart>
      <c:catAx>
        <c:axId val="2102520424"/>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2101746024"/>
        <c:crosses val="autoZero"/>
        <c:auto val="1"/>
        <c:lblAlgn val="ctr"/>
        <c:lblOffset val="100"/>
        <c:noMultiLvlLbl val="0"/>
      </c:catAx>
      <c:valAx>
        <c:axId val="2101746024"/>
        <c:scaling>
          <c:orientation val="minMax"/>
        </c:scaling>
        <c:delete val="0"/>
        <c:axPos val="l"/>
        <c:majorGridlines/>
        <c:numFmt formatCode="#,##0" sourceLinked="0"/>
        <c:majorTickMark val="out"/>
        <c:minorTickMark val="none"/>
        <c:tickLblPos val="nextTo"/>
        <c:crossAx val="2102520424"/>
        <c:crosses val="autoZero"/>
        <c:crossBetween val="between"/>
      </c:valAx>
    </c:plotArea>
    <c:legend>
      <c:legendPos val="r"/>
      <c:layout>
        <c:manualLayout>
          <c:xMode val="edge"/>
          <c:yMode val="edge"/>
          <c:x val="0.791397208526504"/>
          <c:y val="0.171110798650169"/>
          <c:w val="0.203468463521854"/>
          <c:h val="0.721354493900697"/>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Chinook Salmon:</a:t>
            </a:r>
            <a:r>
              <a:rPr lang="en-US" sz="1200" baseline="0"/>
              <a:t> By Category and Region</a:t>
            </a:r>
            <a:endParaRPr lang="en-US" sz="1200"/>
          </a:p>
        </c:rich>
      </c:tx>
      <c:overlay val="0"/>
    </c:title>
    <c:autoTitleDeleted val="0"/>
    <c:plotArea>
      <c:layout>
        <c:manualLayout>
          <c:layoutTarget val="inner"/>
          <c:xMode val="edge"/>
          <c:yMode val="edge"/>
          <c:x val="0.147988407699038"/>
          <c:y val="0.171296296296296"/>
          <c:w val="0.701726596675416"/>
          <c:h val="0.669691601049869"/>
        </c:manualLayout>
      </c:layout>
      <c:barChart>
        <c:barDir val="col"/>
        <c:grouping val="stacked"/>
        <c:varyColors val="0"/>
        <c:ser>
          <c:idx val="0"/>
          <c:order val="0"/>
          <c:tx>
            <c:strRef>
              <c:f>'Species &amp; Region'!$R$3</c:f>
              <c:strCache>
                <c:ptCount val="1"/>
                <c:pt idx="0">
                  <c:v>Alaska</c:v>
                </c:pt>
              </c:strCache>
            </c:strRef>
          </c:tx>
          <c:invertIfNegative val="0"/>
          <c:cat>
            <c:strRef>
              <c:f>'Species &amp; Region'!$S$2:$U$2</c:f>
              <c:strCache>
                <c:ptCount val="3"/>
                <c:pt idx="0">
                  <c:v>A</c:v>
                </c:pt>
                <c:pt idx="1">
                  <c:v>B</c:v>
                </c:pt>
                <c:pt idx="2">
                  <c:v>C</c:v>
                </c:pt>
              </c:strCache>
            </c:strRef>
          </c:cat>
          <c:val>
            <c:numRef>
              <c:f>'Species &amp; Region'!$S$3:$U$3</c:f>
              <c:numCache>
                <c:formatCode>0.00</c:formatCode>
                <c:ptCount val="3"/>
                <c:pt idx="0">
                  <c:v>0.715</c:v>
                </c:pt>
                <c:pt idx="1">
                  <c:v>1.325</c:v>
                </c:pt>
                <c:pt idx="2" formatCode="General">
                  <c:v>0.0</c:v>
                </c:pt>
              </c:numCache>
            </c:numRef>
          </c:val>
        </c:ser>
        <c:ser>
          <c:idx val="1"/>
          <c:order val="1"/>
          <c:tx>
            <c:strRef>
              <c:f>'Species &amp; Region'!$R$4</c:f>
              <c:strCache>
                <c:ptCount val="1"/>
                <c:pt idx="0">
                  <c:v>BC</c:v>
                </c:pt>
              </c:strCache>
            </c:strRef>
          </c:tx>
          <c:spPr>
            <a:solidFill>
              <a:srgbClr val="FF6600"/>
            </a:solidFill>
          </c:spPr>
          <c:invertIfNegative val="0"/>
          <c:cat>
            <c:strRef>
              <c:f>'Species &amp; Region'!$S$2:$U$2</c:f>
              <c:strCache>
                <c:ptCount val="3"/>
                <c:pt idx="0">
                  <c:v>A</c:v>
                </c:pt>
                <c:pt idx="1">
                  <c:v>B</c:v>
                </c:pt>
                <c:pt idx="2">
                  <c:v>C</c:v>
                </c:pt>
              </c:strCache>
            </c:strRef>
          </c:cat>
          <c:val>
            <c:numRef>
              <c:f>'Species &amp; Region'!$S$4:$U$4</c:f>
              <c:numCache>
                <c:formatCode>0.00</c:formatCode>
                <c:ptCount val="3"/>
                <c:pt idx="0" formatCode="General">
                  <c:v>0.0</c:v>
                </c:pt>
                <c:pt idx="1">
                  <c:v>0.575</c:v>
                </c:pt>
                <c:pt idx="2" formatCode="General">
                  <c:v>0.565</c:v>
                </c:pt>
              </c:numCache>
            </c:numRef>
          </c:val>
        </c:ser>
        <c:ser>
          <c:idx val="2"/>
          <c:order val="2"/>
          <c:tx>
            <c:v>PNW</c:v>
          </c:tx>
          <c:invertIfNegative val="0"/>
          <c:dPt>
            <c:idx val="2"/>
            <c:invertIfNegative val="0"/>
            <c:bubble3D val="0"/>
            <c:spPr>
              <a:solidFill>
                <a:schemeClr val="accent3">
                  <a:lumMod val="50000"/>
                </a:schemeClr>
              </a:solidFill>
              <a:ln>
                <a:solidFill>
                  <a:schemeClr val="accent3">
                    <a:lumMod val="50000"/>
                  </a:schemeClr>
                </a:solidFill>
              </a:ln>
            </c:spPr>
          </c:dPt>
          <c:cat>
            <c:strRef>
              <c:f>'Species &amp; Region'!$S$2:$U$2</c:f>
              <c:strCache>
                <c:ptCount val="3"/>
                <c:pt idx="0">
                  <c:v>A</c:v>
                </c:pt>
                <c:pt idx="1">
                  <c:v>B</c:v>
                </c:pt>
                <c:pt idx="2">
                  <c:v>C</c:v>
                </c:pt>
              </c:strCache>
            </c:strRef>
          </c:cat>
          <c:val>
            <c:numRef>
              <c:f>'Species &amp; Region'!$S$5:$U$5</c:f>
              <c:numCache>
                <c:formatCode>0.00</c:formatCode>
                <c:ptCount val="3"/>
                <c:pt idx="0" formatCode="General">
                  <c:v>0.0</c:v>
                </c:pt>
                <c:pt idx="1">
                  <c:v>0.0</c:v>
                </c:pt>
                <c:pt idx="2">
                  <c:v>2.325</c:v>
                </c:pt>
              </c:numCache>
            </c:numRef>
          </c:val>
        </c:ser>
        <c:dLbls>
          <c:showLegendKey val="0"/>
          <c:showVal val="0"/>
          <c:showCatName val="0"/>
          <c:showSerName val="0"/>
          <c:showPercent val="0"/>
          <c:showBubbleSize val="0"/>
        </c:dLbls>
        <c:gapWidth val="150"/>
        <c:overlap val="100"/>
        <c:axId val="2100028664"/>
        <c:axId val="2097198776"/>
      </c:barChart>
      <c:catAx>
        <c:axId val="2100028664"/>
        <c:scaling>
          <c:orientation val="minMax"/>
        </c:scaling>
        <c:delete val="0"/>
        <c:axPos val="b"/>
        <c:title>
          <c:tx>
            <c:rich>
              <a:bodyPr/>
              <a:lstStyle/>
              <a:p>
                <a:pPr>
                  <a:defRPr/>
                </a:pPr>
                <a:r>
                  <a:rPr lang="en-US"/>
                  <a:t>Category</a:t>
                </a:r>
              </a:p>
            </c:rich>
          </c:tx>
          <c:layout>
            <c:manualLayout>
              <c:xMode val="edge"/>
              <c:yMode val="edge"/>
              <c:x val="0.444241469816273"/>
              <c:y val="0.916666666666667"/>
            </c:manualLayout>
          </c:layout>
          <c:overlay val="0"/>
        </c:title>
        <c:majorTickMark val="out"/>
        <c:minorTickMark val="none"/>
        <c:tickLblPos val="nextTo"/>
        <c:crossAx val="2097198776"/>
        <c:crosses val="autoZero"/>
        <c:auto val="1"/>
        <c:lblAlgn val="ctr"/>
        <c:lblOffset val="100"/>
        <c:noMultiLvlLbl val="0"/>
      </c:catAx>
      <c:valAx>
        <c:axId val="2097198776"/>
        <c:scaling>
          <c:orientation val="minMax"/>
        </c:scaling>
        <c:delete val="0"/>
        <c:axPos val="l"/>
        <c:majorGridlines/>
        <c:title>
          <c:tx>
            <c:rich>
              <a:bodyPr rot="-5400000" vert="horz"/>
              <a:lstStyle/>
              <a:p>
                <a:pPr>
                  <a:defRPr/>
                </a:pPr>
                <a:r>
                  <a:rPr lang="en-US"/>
                  <a:t>Annual Harvest ('000s of tons)</a:t>
                </a:r>
              </a:p>
            </c:rich>
          </c:tx>
          <c:layout>
            <c:manualLayout>
              <c:xMode val="edge"/>
              <c:yMode val="edge"/>
              <c:x val="0.025"/>
              <c:y val="0.124512593820509"/>
            </c:manualLayout>
          </c:layout>
          <c:overlay val="0"/>
        </c:title>
        <c:numFmt formatCode="0.00" sourceLinked="1"/>
        <c:majorTickMark val="out"/>
        <c:minorTickMark val="none"/>
        <c:tickLblPos val="nextTo"/>
        <c:crossAx val="2100028664"/>
        <c:crosses val="autoZero"/>
        <c:crossBetween val="between"/>
      </c:valAx>
    </c:plotArea>
    <c:legend>
      <c:legendPos val="r"/>
      <c:layout>
        <c:manualLayout>
          <c:xMode val="edge"/>
          <c:yMode val="edge"/>
          <c:x val="0.863603893263342"/>
          <c:y val="0.402393919510061"/>
          <c:w val="0.124707663515754"/>
          <c:h val="0.360052119066374"/>
        </c:manualLayout>
      </c:layout>
      <c:overlay val="0"/>
    </c:legend>
    <c:plotVisOnly val="1"/>
    <c:dispBlanksAs val="gap"/>
    <c:showDLblsOverMax val="0"/>
  </c:chart>
  <c:printSettings>
    <c:headerFooter/>
    <c:pageMargins b="1.0" l="0.75" r="0.75" t="1.0"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baseline="0"/>
              <a:t>Hatchery Sockeye Salmon Releases 1997-2013 (thousands of fry or smolt)</a:t>
            </a:r>
            <a:endParaRPr lang="en-US" sz="1000"/>
          </a:p>
        </c:rich>
      </c:tx>
      <c:layout>
        <c:manualLayout>
          <c:xMode val="edge"/>
          <c:yMode val="edge"/>
          <c:x val="0.0636546935986133"/>
          <c:y val="0.0155440414507772"/>
        </c:manualLayout>
      </c:layout>
      <c:overlay val="0"/>
    </c:title>
    <c:autoTitleDeleted val="0"/>
    <c:plotArea>
      <c:layout>
        <c:manualLayout>
          <c:layoutTarget val="inner"/>
          <c:xMode val="edge"/>
          <c:yMode val="edge"/>
          <c:x val="0.151723472930118"/>
          <c:y val="0.214507772020725"/>
          <c:w val="0.58822437304812"/>
          <c:h val="0.610190118722206"/>
        </c:manualLayout>
      </c:layout>
      <c:lineChart>
        <c:grouping val="standard"/>
        <c:varyColors val="0"/>
        <c:ser>
          <c:idx val="0"/>
          <c:order val="0"/>
          <c:tx>
            <c:v>Total</c:v>
          </c:tx>
          <c:marker>
            <c:symbol val="none"/>
          </c:marker>
          <c:cat>
            <c:numRef>
              <c:f>'Hatchery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'Hatchery trends'!$AC$4:$AC$20</c:f>
              <c:numCache>
                <c:formatCode>_(* #,##0_);_(* \(#,##0\);_(* "-"??_);_(@_)</c:formatCode>
                <c:ptCount val="17"/>
                <c:pt idx="0">
                  <c:v>136627.0</c:v>
                </c:pt>
                <c:pt idx="1">
                  <c:v>192836.0</c:v>
                </c:pt>
                <c:pt idx="2">
                  <c:v>241360.0</c:v>
                </c:pt>
                <c:pt idx="3">
                  <c:v>232434.0</c:v>
                </c:pt>
                <c:pt idx="4">
                  <c:v>243778.0</c:v>
                </c:pt>
                <c:pt idx="5">
                  <c:v>330573.0</c:v>
                </c:pt>
                <c:pt idx="6">
                  <c:v>393084.0</c:v>
                </c:pt>
                <c:pt idx="7">
                  <c:v>450619.0</c:v>
                </c:pt>
                <c:pt idx="8">
                  <c:v>381426.0</c:v>
                </c:pt>
                <c:pt idx="9">
                  <c:v>262147.0</c:v>
                </c:pt>
                <c:pt idx="10">
                  <c:v>266594.0</c:v>
                </c:pt>
                <c:pt idx="11">
                  <c:v>253825.0</c:v>
                </c:pt>
                <c:pt idx="12">
                  <c:v>227530.0</c:v>
                </c:pt>
                <c:pt idx="13">
                  <c:v>240935.0</c:v>
                </c:pt>
                <c:pt idx="14">
                  <c:v>301920.0</c:v>
                </c:pt>
                <c:pt idx="15">
                  <c:v>222520.0</c:v>
                </c:pt>
                <c:pt idx="16">
                  <c:v>231399.0</c:v>
                </c:pt>
              </c:numCache>
            </c:numRef>
          </c:val>
          <c:smooth val="0"/>
        </c:ser>
        <c:ser>
          <c:idx val="4"/>
          <c:order val="1"/>
          <c:tx>
            <c:v>B.C.</c:v>
          </c:tx>
          <c:marker>
            <c:symbol val="none"/>
          </c:marker>
          <c:cat>
            <c:numRef>
              <c:f>'Hatchery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'Hatchery trends'!$Y$4:$Y$20</c:f>
              <c:numCache>
                <c:formatCode>_(* #,##0_);_(* \(#,##0\);_(* "-"??_);_(@_)</c:formatCode>
                <c:ptCount val="17"/>
                <c:pt idx="0">
                  <c:v>27420.0</c:v>
                </c:pt>
                <c:pt idx="1">
                  <c:v>84205.0</c:v>
                </c:pt>
                <c:pt idx="2">
                  <c:v>136673.0</c:v>
                </c:pt>
                <c:pt idx="3">
                  <c:v>149792.0</c:v>
                </c:pt>
                <c:pt idx="4">
                  <c:v>181822.0</c:v>
                </c:pt>
                <c:pt idx="5">
                  <c:v>225105.0</c:v>
                </c:pt>
                <c:pt idx="6">
                  <c:v>287039.0</c:v>
                </c:pt>
                <c:pt idx="7">
                  <c:v>344410.0</c:v>
                </c:pt>
                <c:pt idx="8">
                  <c:v>313524.0</c:v>
                </c:pt>
                <c:pt idx="9">
                  <c:v>181140.0</c:v>
                </c:pt>
                <c:pt idx="10">
                  <c:v>177316.0</c:v>
                </c:pt>
                <c:pt idx="11">
                  <c:v>177019.0</c:v>
                </c:pt>
                <c:pt idx="12">
                  <c:v>150901.0</c:v>
                </c:pt>
                <c:pt idx="13">
                  <c:v>162962.0</c:v>
                </c:pt>
                <c:pt idx="14">
                  <c:v>214884.0</c:v>
                </c:pt>
                <c:pt idx="15">
                  <c:v>133152.0</c:v>
                </c:pt>
                <c:pt idx="16">
                  <c:v>135600.0</c:v>
                </c:pt>
              </c:numCache>
            </c:numRef>
          </c:val>
          <c:smooth val="0"/>
        </c:ser>
        <c:ser>
          <c:idx val="2"/>
          <c:order val="2"/>
          <c:tx>
            <c:v>Alaska</c:v>
          </c:tx>
          <c:marker>
            <c:symbol val="none"/>
          </c:marker>
          <c:cat>
            <c:numRef>
              <c:f>'Hatchery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'Hatchery trends'!$X$4:$X$20</c:f>
              <c:numCache>
                <c:formatCode>_(* #,##0_);_(* \(#,##0\);_(* "-"??_);_(@_)</c:formatCode>
                <c:ptCount val="17"/>
                <c:pt idx="0">
                  <c:v>76530.0</c:v>
                </c:pt>
                <c:pt idx="1">
                  <c:v>70630.0</c:v>
                </c:pt>
                <c:pt idx="2">
                  <c:v>66520.0</c:v>
                </c:pt>
                <c:pt idx="3">
                  <c:v>59820.0</c:v>
                </c:pt>
                <c:pt idx="4">
                  <c:v>39170.0</c:v>
                </c:pt>
                <c:pt idx="5">
                  <c:v>66640.0</c:v>
                </c:pt>
                <c:pt idx="6">
                  <c:v>63490.0</c:v>
                </c:pt>
                <c:pt idx="7">
                  <c:v>72260.0</c:v>
                </c:pt>
                <c:pt idx="8">
                  <c:v>38350.0</c:v>
                </c:pt>
                <c:pt idx="9">
                  <c:v>53480.0</c:v>
                </c:pt>
                <c:pt idx="10">
                  <c:v>63380.0</c:v>
                </c:pt>
                <c:pt idx="11">
                  <c:v>60420.0</c:v>
                </c:pt>
                <c:pt idx="12">
                  <c:v>56800.0</c:v>
                </c:pt>
                <c:pt idx="13">
                  <c:v>56060.0</c:v>
                </c:pt>
                <c:pt idx="14">
                  <c:v>57060.0</c:v>
                </c:pt>
                <c:pt idx="15">
                  <c:v>61040.0</c:v>
                </c:pt>
                <c:pt idx="16">
                  <c:v>57320.0</c:v>
                </c:pt>
              </c:numCache>
            </c:numRef>
          </c:val>
          <c:smooth val="0"/>
        </c:ser>
        <c:ser>
          <c:idx val="5"/>
          <c:order val="3"/>
          <c:tx>
            <c:v>PNW</c:v>
          </c:tx>
          <c:marker>
            <c:symbol val="none"/>
          </c:marker>
          <c:cat>
            <c:numRef>
              <c:f>'Hatchery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'Hatchery trends'!$Z$4:$Z$20</c:f>
              <c:numCache>
                <c:formatCode>_(* #,##0_);_(* \(#,##0\);_(* "-"??_);_(@_)</c:formatCode>
                <c:ptCount val="17"/>
                <c:pt idx="0">
                  <c:v>27420.0</c:v>
                </c:pt>
                <c:pt idx="1">
                  <c:v>21170.0</c:v>
                </c:pt>
                <c:pt idx="2">
                  <c:v>20800.0</c:v>
                </c:pt>
                <c:pt idx="3">
                  <c:v>16970.0</c:v>
                </c:pt>
                <c:pt idx="4">
                  <c:v>21810.0</c:v>
                </c:pt>
                <c:pt idx="5">
                  <c:v>29040.0</c:v>
                </c:pt>
                <c:pt idx="6">
                  <c:v>32110.0</c:v>
                </c:pt>
                <c:pt idx="7">
                  <c:v>25400.0</c:v>
                </c:pt>
                <c:pt idx="8">
                  <c:v>19400.0</c:v>
                </c:pt>
                <c:pt idx="9">
                  <c:v>21830.0</c:v>
                </c:pt>
                <c:pt idx="10">
                  <c:v>15450.0</c:v>
                </c:pt>
                <c:pt idx="11">
                  <c:v>5720.0</c:v>
                </c:pt>
                <c:pt idx="12">
                  <c:v>4800.0</c:v>
                </c:pt>
                <c:pt idx="13">
                  <c:v>10910.0</c:v>
                </c:pt>
                <c:pt idx="14">
                  <c:v>15377.0</c:v>
                </c:pt>
                <c:pt idx="15">
                  <c:v>15640.0</c:v>
                </c:pt>
                <c:pt idx="16">
                  <c:v>24855.0</c:v>
                </c:pt>
              </c:numCache>
            </c:numRef>
          </c:val>
          <c:smooth val="0"/>
        </c:ser>
        <c:ser>
          <c:idx val="3"/>
          <c:order val="4"/>
          <c:tx>
            <c:v>Russia</c:v>
          </c:tx>
          <c:marker>
            <c:symbol val="none"/>
          </c:marker>
          <c:cat>
            <c:numRef>
              <c:f>'Hatchery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'Hatchery trends'!$AB$4:$AB$20</c:f>
              <c:numCache>
                <c:formatCode>_(* #,##0_);_(* \(#,##0\);_(* "-"??_);_(@_)</c:formatCode>
                <c:ptCount val="17"/>
                <c:pt idx="0">
                  <c:v>4450.0</c:v>
                </c:pt>
                <c:pt idx="1">
                  <c:v>16388.0</c:v>
                </c:pt>
                <c:pt idx="2">
                  <c:v>17084.0</c:v>
                </c:pt>
                <c:pt idx="3">
                  <c:v>5475.0</c:v>
                </c:pt>
                <c:pt idx="4">
                  <c:v>716.0</c:v>
                </c:pt>
                <c:pt idx="5">
                  <c:v>9588.0</c:v>
                </c:pt>
                <c:pt idx="6">
                  <c:v>10288.0</c:v>
                </c:pt>
                <c:pt idx="7">
                  <c:v>8381.0</c:v>
                </c:pt>
                <c:pt idx="8">
                  <c:v>9688.0</c:v>
                </c:pt>
                <c:pt idx="9">
                  <c:v>5385.0</c:v>
                </c:pt>
                <c:pt idx="10">
                  <c:v>10121.0</c:v>
                </c:pt>
                <c:pt idx="11">
                  <c:v>10295.0</c:v>
                </c:pt>
                <c:pt idx="12">
                  <c:v>14717.0</c:v>
                </c:pt>
                <c:pt idx="13">
                  <c:v>10658.0</c:v>
                </c:pt>
                <c:pt idx="14">
                  <c:v>14221.0</c:v>
                </c:pt>
                <c:pt idx="15">
                  <c:v>12404.0</c:v>
                </c:pt>
                <c:pt idx="16">
                  <c:v>13432.0</c:v>
                </c:pt>
              </c:numCache>
            </c:numRef>
          </c:val>
          <c:smooth val="0"/>
        </c:ser>
        <c:ser>
          <c:idx val="1"/>
          <c:order val="5"/>
          <c:tx>
            <c:v>Japan</c:v>
          </c:tx>
          <c:marker>
            <c:symbol val="none"/>
          </c:marker>
          <c:cat>
            <c:numRef>
              <c:f>'Hatchery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'Hatchery trends'!$AA$4:$AA$20</c:f>
              <c:numCache>
                <c:formatCode>_(* #,##0_);_(* \(#,##0\);_(* "-"??_);_(@_)</c:formatCode>
                <c:ptCount val="17"/>
                <c:pt idx="0">
                  <c:v>807.0</c:v>
                </c:pt>
                <c:pt idx="1">
                  <c:v>443.0</c:v>
                </c:pt>
                <c:pt idx="2">
                  <c:v>283.0</c:v>
                </c:pt>
                <c:pt idx="3">
                  <c:v>377.0</c:v>
                </c:pt>
                <c:pt idx="4">
                  <c:v>260.0</c:v>
                </c:pt>
                <c:pt idx="5">
                  <c:v>200.0</c:v>
                </c:pt>
                <c:pt idx="6">
                  <c:v>157.0</c:v>
                </c:pt>
                <c:pt idx="7">
                  <c:v>168.0</c:v>
                </c:pt>
                <c:pt idx="8">
                  <c:v>464.0</c:v>
                </c:pt>
                <c:pt idx="9">
                  <c:v>312.0</c:v>
                </c:pt>
                <c:pt idx="10">
                  <c:v>327.0</c:v>
                </c:pt>
                <c:pt idx="11">
                  <c:v>371.0</c:v>
                </c:pt>
                <c:pt idx="12">
                  <c:v>312.0</c:v>
                </c:pt>
                <c:pt idx="13">
                  <c:v>345.0</c:v>
                </c:pt>
                <c:pt idx="14">
                  <c:v>378.0</c:v>
                </c:pt>
                <c:pt idx="15">
                  <c:v>284.0</c:v>
                </c:pt>
                <c:pt idx="16">
                  <c:v>192.0</c:v>
                </c:pt>
              </c:numCache>
            </c:numRef>
          </c:val>
          <c:smooth val="0"/>
        </c:ser>
        <c:dLbls>
          <c:showLegendKey val="0"/>
          <c:showVal val="0"/>
          <c:showCatName val="0"/>
          <c:showSerName val="0"/>
          <c:showPercent val="0"/>
          <c:showBubbleSize val="0"/>
        </c:dLbls>
        <c:marker val="1"/>
        <c:smooth val="0"/>
        <c:axId val="2101781720"/>
        <c:axId val="2101785080"/>
      </c:lineChart>
      <c:catAx>
        <c:axId val="2101781720"/>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2101785080"/>
        <c:crosses val="autoZero"/>
        <c:auto val="1"/>
        <c:lblAlgn val="ctr"/>
        <c:lblOffset val="100"/>
        <c:noMultiLvlLbl val="0"/>
      </c:catAx>
      <c:valAx>
        <c:axId val="2101785080"/>
        <c:scaling>
          <c:orientation val="minMax"/>
        </c:scaling>
        <c:delete val="0"/>
        <c:axPos val="l"/>
        <c:majorGridlines/>
        <c:numFmt formatCode="#,##0" sourceLinked="0"/>
        <c:majorTickMark val="out"/>
        <c:minorTickMark val="none"/>
        <c:tickLblPos val="nextTo"/>
        <c:crossAx val="2101781720"/>
        <c:crosses val="autoZero"/>
        <c:crossBetween val="between"/>
      </c:valAx>
    </c:plotArea>
    <c:legend>
      <c:legendPos val="r"/>
      <c:layout>
        <c:manualLayout>
          <c:xMode val="edge"/>
          <c:yMode val="edge"/>
          <c:x val="0.77893614438255"/>
          <c:y val="0.171110929786626"/>
          <c:w val="0.203468463521854"/>
          <c:h val="0.721354493900697"/>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24221207043"/>
          <c:y val="0.0746113989637306"/>
          <c:w val="0.554229012189803"/>
          <c:h val="0.702837093549835"/>
        </c:manualLayout>
      </c:layout>
      <c:lineChart>
        <c:grouping val="standard"/>
        <c:varyColors val="0"/>
        <c:ser>
          <c:idx val="0"/>
          <c:order val="0"/>
          <c:tx>
            <c:v>Total</c:v>
          </c:tx>
          <c:marker>
            <c:symbol val="none"/>
          </c:marker>
          <c:cat>
            <c:numRef>
              <c:f>'Hatchery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'Hatchery trends'!$AI$4:$AI$20</c:f>
              <c:numCache>
                <c:formatCode>_(* #,##0_);_(* \(#,##0\);_(* "-"??_);_(@_)</c:formatCode>
                <c:ptCount val="17"/>
                <c:pt idx="0">
                  <c:v>4.694377E6</c:v>
                </c:pt>
                <c:pt idx="1">
                  <c:v>4.798016E6</c:v>
                </c:pt>
                <c:pt idx="2">
                  <c:v>4.755716E6</c:v>
                </c:pt>
                <c:pt idx="3">
                  <c:v>4.781941E6</c:v>
                </c:pt>
                <c:pt idx="4">
                  <c:v>4.686135E6</c:v>
                </c:pt>
                <c:pt idx="5">
                  <c:v>4.96038E6</c:v>
                </c:pt>
                <c:pt idx="6">
                  <c:v>4.954266E6</c:v>
                </c:pt>
                <c:pt idx="7">
                  <c:v>5.109508E6</c:v>
                </c:pt>
                <c:pt idx="8">
                  <c:v>4.935643E6</c:v>
                </c:pt>
                <c:pt idx="9">
                  <c:v>4.741578E6</c:v>
                </c:pt>
                <c:pt idx="10">
                  <c:v>5.125443E6</c:v>
                </c:pt>
                <c:pt idx="11">
                  <c:v>5.045883E6</c:v>
                </c:pt>
                <c:pt idx="12">
                  <c:v>4.77633E6</c:v>
                </c:pt>
                <c:pt idx="13">
                  <c:v>5.188856E6</c:v>
                </c:pt>
                <c:pt idx="14">
                  <c:v>4.474219E6</c:v>
                </c:pt>
                <c:pt idx="15">
                  <c:v>4.975425E6</c:v>
                </c:pt>
                <c:pt idx="16">
                  <c:v>4.898206E6</c:v>
                </c:pt>
              </c:numCache>
            </c:numRef>
          </c:val>
          <c:smooth val="0"/>
        </c:ser>
        <c:ser>
          <c:idx val="1"/>
          <c:order val="1"/>
          <c:tx>
            <c:v>Japan</c:v>
          </c:tx>
          <c:marker>
            <c:symbol val="none"/>
          </c:marker>
          <c:cat>
            <c:numRef>
              <c:f>'Hatchery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'Hatchery trends'!$AG$4:$AG$20</c:f>
              <c:numCache>
                <c:formatCode>_(* #,##0_);_(* \(#,##0\);_(* "-"??_);_(@_)</c:formatCode>
                <c:ptCount val="17"/>
                <c:pt idx="0">
                  <c:v>2.080029E6</c:v>
                </c:pt>
                <c:pt idx="1">
                  <c:v>2.014881E6</c:v>
                </c:pt>
                <c:pt idx="2">
                  <c:v>2.010273E6</c:v>
                </c:pt>
                <c:pt idx="3">
                  <c:v>1.95688E6</c:v>
                </c:pt>
                <c:pt idx="4">
                  <c:v>1.974136E6</c:v>
                </c:pt>
                <c:pt idx="5">
                  <c:v>1.99657E6</c:v>
                </c:pt>
                <c:pt idx="6">
                  <c:v>1.982986E6</c:v>
                </c:pt>
                <c:pt idx="7">
                  <c:v>1.960976E6</c:v>
                </c:pt>
                <c:pt idx="8">
                  <c:v>1.990755E6</c:v>
                </c:pt>
                <c:pt idx="9">
                  <c:v>1.992702E6</c:v>
                </c:pt>
                <c:pt idx="10">
                  <c:v>2.021835E6</c:v>
                </c:pt>
                <c:pt idx="11">
                  <c:v>2.02992E6</c:v>
                </c:pt>
                <c:pt idx="12">
                  <c:v>1.959845E6</c:v>
                </c:pt>
                <c:pt idx="13">
                  <c:v>1.996689E6</c:v>
                </c:pt>
                <c:pt idx="14">
                  <c:v>1.347221E6</c:v>
                </c:pt>
                <c:pt idx="15">
                  <c:v>1.779554E6</c:v>
                </c:pt>
                <c:pt idx="16">
                  <c:v>1.716595E6</c:v>
                </c:pt>
              </c:numCache>
            </c:numRef>
          </c:val>
          <c:smooth val="0"/>
        </c:ser>
        <c:ser>
          <c:idx val="2"/>
          <c:order val="2"/>
          <c:tx>
            <c:v>Alaska</c:v>
          </c:tx>
          <c:marker>
            <c:symbol val="none"/>
          </c:marker>
          <c:cat>
            <c:numRef>
              <c:f>'Hatchery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'Hatchery trends'!$AD$4:$AD$20</c:f>
              <c:numCache>
                <c:formatCode>_(* #,##0_);_(* \(#,##0\);_(* "-"??_);_(@_)</c:formatCode>
                <c:ptCount val="17"/>
                <c:pt idx="0">
                  <c:v>1.35865E6</c:v>
                </c:pt>
                <c:pt idx="1">
                  <c:v>1.45256E6</c:v>
                </c:pt>
                <c:pt idx="2">
                  <c:v>1.43518E6</c:v>
                </c:pt>
                <c:pt idx="3">
                  <c:v>1.47972E6</c:v>
                </c:pt>
                <c:pt idx="4">
                  <c:v>1.4777E6</c:v>
                </c:pt>
                <c:pt idx="5">
                  <c:v>1.48454E6</c:v>
                </c:pt>
                <c:pt idx="6">
                  <c:v>1.52202E6</c:v>
                </c:pt>
                <c:pt idx="7">
                  <c:v>1.64589E6</c:v>
                </c:pt>
                <c:pt idx="8">
                  <c:v>1.46028E6</c:v>
                </c:pt>
                <c:pt idx="9">
                  <c:v>1.4362E6</c:v>
                </c:pt>
                <c:pt idx="10">
                  <c:v>1.56197E6</c:v>
                </c:pt>
                <c:pt idx="11">
                  <c:v>1.4871E6</c:v>
                </c:pt>
                <c:pt idx="12">
                  <c:v>1.46146E6</c:v>
                </c:pt>
                <c:pt idx="13">
                  <c:v>1.56041E6</c:v>
                </c:pt>
                <c:pt idx="14">
                  <c:v>1.54138E6</c:v>
                </c:pt>
                <c:pt idx="15">
                  <c:v>1.67167E6</c:v>
                </c:pt>
                <c:pt idx="16">
                  <c:v>1.55134E6</c:v>
                </c:pt>
              </c:numCache>
            </c:numRef>
          </c:val>
          <c:smooth val="0"/>
        </c:ser>
        <c:ser>
          <c:idx val="3"/>
          <c:order val="3"/>
          <c:tx>
            <c:v>Russia</c:v>
          </c:tx>
          <c:marker>
            <c:symbol val="none"/>
          </c:marker>
          <c:cat>
            <c:numRef>
              <c:f>'Hatchery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'Hatchery trends'!$AH$4:$AH$20</c:f>
              <c:numCache>
                <c:formatCode>_(* #,##0_);_(* \(#,##0\);_(* "-"??_);_(@_)</c:formatCode>
                <c:ptCount val="17"/>
                <c:pt idx="0">
                  <c:v>618308.0</c:v>
                </c:pt>
                <c:pt idx="1">
                  <c:v>626017.0</c:v>
                </c:pt>
                <c:pt idx="2">
                  <c:v>566150.0</c:v>
                </c:pt>
                <c:pt idx="3">
                  <c:v>670511.0</c:v>
                </c:pt>
                <c:pt idx="4">
                  <c:v>590066.0</c:v>
                </c:pt>
                <c:pt idx="5">
                  <c:v>668132.0</c:v>
                </c:pt>
                <c:pt idx="6">
                  <c:v>614177.0</c:v>
                </c:pt>
                <c:pt idx="7">
                  <c:v>680319.0</c:v>
                </c:pt>
                <c:pt idx="8">
                  <c:v>682883.0</c:v>
                </c:pt>
                <c:pt idx="9">
                  <c:v>667804.0</c:v>
                </c:pt>
                <c:pt idx="10">
                  <c:v>841196.0</c:v>
                </c:pt>
                <c:pt idx="11">
                  <c:v>926181.0</c:v>
                </c:pt>
                <c:pt idx="12">
                  <c:v>900315.0</c:v>
                </c:pt>
                <c:pt idx="13">
                  <c:v>1.032172E6</c:v>
                </c:pt>
                <c:pt idx="14">
                  <c:v>934293.0</c:v>
                </c:pt>
                <c:pt idx="15">
                  <c:v>905800.0</c:v>
                </c:pt>
                <c:pt idx="16">
                  <c:v>1.03871E6</c:v>
                </c:pt>
              </c:numCache>
            </c:numRef>
          </c:val>
          <c:smooth val="0"/>
        </c:ser>
        <c:ser>
          <c:idx val="5"/>
          <c:order val="4"/>
          <c:tx>
            <c:v>PNW</c:v>
          </c:tx>
          <c:marker>
            <c:symbol val="none"/>
          </c:marker>
          <c:cat>
            <c:numRef>
              <c:f>'Hatchery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'Hatchery trends'!$AF$4:$AF$20</c:f>
              <c:numCache>
                <c:formatCode>_(* #,##0_);_(* \(#,##0\);_(* "-"??_);_(@_)</c:formatCode>
                <c:ptCount val="17"/>
                <c:pt idx="0">
                  <c:v>377730.0</c:v>
                </c:pt>
                <c:pt idx="1">
                  <c:v>368270.0</c:v>
                </c:pt>
                <c:pt idx="2">
                  <c:v>346850.0</c:v>
                </c:pt>
                <c:pt idx="3">
                  <c:v>311370.0</c:v>
                </c:pt>
                <c:pt idx="4">
                  <c:v>306400.0</c:v>
                </c:pt>
                <c:pt idx="5">
                  <c:v>339600.0</c:v>
                </c:pt>
                <c:pt idx="6">
                  <c:v>324030.0</c:v>
                </c:pt>
                <c:pt idx="7">
                  <c:v>288910.0</c:v>
                </c:pt>
                <c:pt idx="8">
                  <c:v>283720.0</c:v>
                </c:pt>
                <c:pt idx="9">
                  <c:v>269860.0</c:v>
                </c:pt>
                <c:pt idx="10">
                  <c:v>314470.0</c:v>
                </c:pt>
                <c:pt idx="11">
                  <c:v>271900.0</c:v>
                </c:pt>
                <c:pt idx="12">
                  <c:v>155060.0</c:v>
                </c:pt>
                <c:pt idx="13">
                  <c:v>287500.0</c:v>
                </c:pt>
                <c:pt idx="14">
                  <c:v>312109.0</c:v>
                </c:pt>
                <c:pt idx="15">
                  <c:v>306070.0</c:v>
                </c:pt>
                <c:pt idx="16">
                  <c:v>298189.0</c:v>
                </c:pt>
              </c:numCache>
            </c:numRef>
          </c:val>
          <c:smooth val="0"/>
        </c:ser>
        <c:ser>
          <c:idx val="4"/>
          <c:order val="5"/>
          <c:tx>
            <c:v>B.C.</c:v>
          </c:tx>
          <c:marker>
            <c:symbol val="none"/>
          </c:marker>
          <c:cat>
            <c:numRef>
              <c:f>'Hatchery trends'!$A$4:$A$20</c:f>
              <c:numCache>
                <c:formatCode>General</c:formatCode>
                <c:ptCount val="17"/>
                <c:pt idx="0">
                  <c:v>1997.0</c:v>
                </c:pt>
                <c:pt idx="1">
                  <c:v>1998.0</c:v>
                </c:pt>
                <c:pt idx="2">
                  <c:v>1999.0</c:v>
                </c:pt>
                <c:pt idx="3">
                  <c:v>2000.0</c:v>
                </c:pt>
                <c:pt idx="4">
                  <c:v>2001.0</c:v>
                </c:pt>
                <c:pt idx="5">
                  <c:v>2002.0</c:v>
                </c:pt>
                <c:pt idx="6">
                  <c:v>2003.0</c:v>
                </c:pt>
                <c:pt idx="7">
                  <c:v>2004.0</c:v>
                </c:pt>
                <c:pt idx="8">
                  <c:v>2005.0</c:v>
                </c:pt>
                <c:pt idx="9">
                  <c:v>2006.0</c:v>
                </c:pt>
                <c:pt idx="10">
                  <c:v>2007.0</c:v>
                </c:pt>
                <c:pt idx="11">
                  <c:v>2008.0</c:v>
                </c:pt>
                <c:pt idx="12">
                  <c:v>2009.0</c:v>
                </c:pt>
                <c:pt idx="13">
                  <c:v>2010.0</c:v>
                </c:pt>
                <c:pt idx="14">
                  <c:v>2011.0</c:v>
                </c:pt>
                <c:pt idx="15">
                  <c:v>2012.0</c:v>
                </c:pt>
                <c:pt idx="16">
                  <c:v>2013.0</c:v>
                </c:pt>
              </c:numCache>
            </c:numRef>
          </c:cat>
          <c:val>
            <c:numRef>
              <c:f>'Hatchery trends'!$AE$4:$AE$20</c:f>
              <c:numCache>
                <c:formatCode>_(* #,##0_);_(* \(#,##0\);_(* "-"??_);_(@_)</c:formatCode>
                <c:ptCount val="17"/>
                <c:pt idx="0">
                  <c:v>259660.0</c:v>
                </c:pt>
                <c:pt idx="1">
                  <c:v>336288.0</c:v>
                </c:pt>
                <c:pt idx="2">
                  <c:v>397263.0</c:v>
                </c:pt>
                <c:pt idx="3">
                  <c:v>363460.0</c:v>
                </c:pt>
                <c:pt idx="4">
                  <c:v>337833.0</c:v>
                </c:pt>
                <c:pt idx="5">
                  <c:v>471538.0</c:v>
                </c:pt>
                <c:pt idx="6">
                  <c:v>511053.0</c:v>
                </c:pt>
                <c:pt idx="7">
                  <c:v>533413.0</c:v>
                </c:pt>
                <c:pt idx="8">
                  <c:v>518005.0</c:v>
                </c:pt>
                <c:pt idx="9">
                  <c:v>375012.0</c:v>
                </c:pt>
                <c:pt idx="10">
                  <c:v>385972.0</c:v>
                </c:pt>
                <c:pt idx="11">
                  <c:v>330782.0</c:v>
                </c:pt>
                <c:pt idx="12">
                  <c:v>299650.0</c:v>
                </c:pt>
                <c:pt idx="13">
                  <c:v>312085.0</c:v>
                </c:pt>
                <c:pt idx="14">
                  <c:v>339216.0</c:v>
                </c:pt>
                <c:pt idx="15">
                  <c:v>312331.0</c:v>
                </c:pt>
                <c:pt idx="16">
                  <c:v>293372.0</c:v>
                </c:pt>
              </c:numCache>
            </c:numRef>
          </c:val>
          <c:smooth val="0"/>
        </c:ser>
        <c:dLbls>
          <c:showLegendKey val="0"/>
          <c:showVal val="0"/>
          <c:showCatName val="0"/>
          <c:showSerName val="0"/>
          <c:showPercent val="0"/>
          <c:showBubbleSize val="0"/>
        </c:dLbls>
        <c:marker val="1"/>
        <c:smooth val="0"/>
        <c:axId val="2102553992"/>
        <c:axId val="2102559256"/>
      </c:lineChart>
      <c:catAx>
        <c:axId val="2102553992"/>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txPr>
          <a:bodyPr rot="-5400000" vert="horz"/>
          <a:lstStyle/>
          <a:p>
            <a:pPr>
              <a:defRPr/>
            </a:pPr>
            <a:endParaRPr lang="en-US"/>
          </a:p>
        </c:txPr>
        <c:crossAx val="2102559256"/>
        <c:crosses val="autoZero"/>
        <c:auto val="1"/>
        <c:lblAlgn val="ctr"/>
        <c:lblOffset val="100"/>
        <c:noMultiLvlLbl val="0"/>
      </c:catAx>
      <c:valAx>
        <c:axId val="2102559256"/>
        <c:scaling>
          <c:orientation val="minMax"/>
        </c:scaling>
        <c:delete val="0"/>
        <c:axPos val="l"/>
        <c:majorGridlines/>
        <c:title>
          <c:tx>
            <c:rich>
              <a:bodyPr rot="-5400000" vert="horz"/>
              <a:lstStyle/>
              <a:p>
                <a:pPr>
                  <a:defRPr/>
                </a:pPr>
                <a:r>
                  <a:rPr lang="en-US"/>
                  <a:t>Annual Releases</a:t>
                </a:r>
                <a:r>
                  <a:rPr lang="en-US" baseline="0"/>
                  <a:t> ('000s of fish)</a:t>
                </a:r>
                <a:endParaRPr lang="en-US"/>
              </a:p>
            </c:rich>
          </c:tx>
          <c:layout>
            <c:manualLayout>
              <c:xMode val="edge"/>
              <c:yMode val="edge"/>
              <c:x val="0.0149160946718395"/>
              <c:y val="0.0882142711435682"/>
            </c:manualLayout>
          </c:layout>
          <c:overlay val="0"/>
        </c:title>
        <c:numFmt formatCode="#,##0" sourceLinked="0"/>
        <c:majorTickMark val="out"/>
        <c:minorTickMark val="none"/>
        <c:tickLblPos val="nextTo"/>
        <c:crossAx val="2102553992"/>
        <c:crosses val="autoZero"/>
        <c:crossBetween val="between"/>
      </c:valAx>
    </c:plotArea>
    <c:legend>
      <c:legendPos val="r"/>
      <c:layout>
        <c:manualLayout>
          <c:xMode val="edge"/>
          <c:yMode val="edge"/>
          <c:x val="0.793084410367071"/>
          <c:y val="0.0830280282322222"/>
          <c:w val="0.203468463521854"/>
          <c:h val="0.721354493900697"/>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Chum Salmon:</a:t>
            </a:r>
            <a:r>
              <a:rPr lang="en-US" sz="1200" baseline="0"/>
              <a:t> By Category and Region</a:t>
            </a:r>
            <a:endParaRPr lang="en-US" sz="1200"/>
          </a:p>
        </c:rich>
      </c:tx>
      <c:overlay val="0"/>
    </c:title>
    <c:autoTitleDeleted val="0"/>
    <c:plotArea>
      <c:layout>
        <c:manualLayout>
          <c:layoutTarget val="inner"/>
          <c:xMode val="edge"/>
          <c:yMode val="edge"/>
          <c:x val="0.147988407699038"/>
          <c:y val="0.171296296296296"/>
          <c:w val="0.701726596675416"/>
          <c:h val="0.669691601049869"/>
        </c:manualLayout>
      </c:layout>
      <c:barChart>
        <c:barDir val="col"/>
        <c:grouping val="stacked"/>
        <c:varyColors val="0"/>
        <c:ser>
          <c:idx val="0"/>
          <c:order val="0"/>
          <c:tx>
            <c:v>Alaska</c:v>
          </c:tx>
          <c:invertIfNegative val="0"/>
          <c:cat>
            <c:strRef>
              <c:f>'Species &amp; Region'!$S$9:$U$9</c:f>
              <c:strCache>
                <c:ptCount val="3"/>
                <c:pt idx="0">
                  <c:v>A</c:v>
                </c:pt>
                <c:pt idx="1">
                  <c:v>B</c:v>
                </c:pt>
                <c:pt idx="2">
                  <c:v>C</c:v>
                </c:pt>
              </c:strCache>
            </c:strRef>
          </c:cat>
          <c:val>
            <c:numRef>
              <c:f>'Species &amp; Region'!$S$10:$U$10</c:f>
              <c:numCache>
                <c:formatCode>General</c:formatCode>
                <c:ptCount val="3"/>
                <c:pt idx="0">
                  <c:v>11.65</c:v>
                </c:pt>
                <c:pt idx="1">
                  <c:v>40.4</c:v>
                </c:pt>
                <c:pt idx="2">
                  <c:v>9.9</c:v>
                </c:pt>
              </c:numCache>
            </c:numRef>
          </c:val>
        </c:ser>
        <c:ser>
          <c:idx val="1"/>
          <c:order val="1"/>
          <c:tx>
            <c:v>BC</c:v>
          </c:tx>
          <c:spPr>
            <a:solidFill>
              <a:srgbClr val="FF6600"/>
            </a:solidFill>
          </c:spPr>
          <c:invertIfNegative val="0"/>
          <c:cat>
            <c:strRef>
              <c:f>'Species &amp; Region'!$S$9:$U$9</c:f>
              <c:strCache>
                <c:ptCount val="3"/>
                <c:pt idx="0">
                  <c:v>A</c:v>
                </c:pt>
                <c:pt idx="1">
                  <c:v>B</c:v>
                </c:pt>
                <c:pt idx="2">
                  <c:v>C</c:v>
                </c:pt>
              </c:strCache>
            </c:strRef>
          </c:cat>
          <c:val>
            <c:numRef>
              <c:f>'Species &amp; Region'!$S$11:$U$11</c:f>
              <c:numCache>
                <c:formatCode>General</c:formatCode>
                <c:ptCount val="3"/>
                <c:pt idx="0">
                  <c:v>0.0</c:v>
                </c:pt>
                <c:pt idx="1">
                  <c:v>2.65</c:v>
                </c:pt>
                <c:pt idx="2">
                  <c:v>0.0</c:v>
                </c:pt>
              </c:numCache>
            </c:numRef>
          </c:val>
        </c:ser>
        <c:ser>
          <c:idx val="2"/>
          <c:order val="2"/>
          <c:tx>
            <c:v>Japan</c:v>
          </c:tx>
          <c:invertIfNegative val="0"/>
          <c:cat>
            <c:strRef>
              <c:f>'Species &amp; Region'!$S$9:$U$9</c:f>
              <c:strCache>
                <c:ptCount val="3"/>
                <c:pt idx="0">
                  <c:v>A</c:v>
                </c:pt>
                <c:pt idx="1">
                  <c:v>B</c:v>
                </c:pt>
                <c:pt idx="2">
                  <c:v>C</c:v>
                </c:pt>
              </c:strCache>
            </c:strRef>
          </c:cat>
          <c:val>
            <c:numRef>
              <c:f>'Species &amp; Region'!$S$12:$U$12</c:f>
              <c:numCache>
                <c:formatCode>General</c:formatCode>
                <c:ptCount val="3"/>
                <c:pt idx="0">
                  <c:v>0.0</c:v>
                </c:pt>
                <c:pt idx="1">
                  <c:v>0.0</c:v>
                </c:pt>
                <c:pt idx="2">
                  <c:v>146.69</c:v>
                </c:pt>
              </c:numCache>
            </c:numRef>
          </c:val>
        </c:ser>
        <c:ser>
          <c:idx val="3"/>
          <c:order val="3"/>
          <c:tx>
            <c:v>Russia</c:v>
          </c:tx>
          <c:spPr>
            <a:solidFill>
              <a:srgbClr val="FFFF00"/>
            </a:solidFill>
          </c:spPr>
          <c:invertIfNegative val="0"/>
          <c:cat>
            <c:strRef>
              <c:f>'Species &amp; Region'!$S$9:$U$9</c:f>
              <c:strCache>
                <c:ptCount val="3"/>
                <c:pt idx="0">
                  <c:v>A</c:v>
                </c:pt>
                <c:pt idx="1">
                  <c:v>B</c:v>
                </c:pt>
                <c:pt idx="2">
                  <c:v>C</c:v>
                </c:pt>
              </c:strCache>
            </c:strRef>
          </c:cat>
          <c:val>
            <c:numRef>
              <c:f>'Species &amp; Region'!$S$13:$U$13</c:f>
              <c:numCache>
                <c:formatCode>General</c:formatCode>
                <c:ptCount val="3"/>
                <c:pt idx="0">
                  <c:v>0.0</c:v>
                </c:pt>
                <c:pt idx="1">
                  <c:v>5.79</c:v>
                </c:pt>
                <c:pt idx="2">
                  <c:v>87.64</c:v>
                </c:pt>
              </c:numCache>
            </c:numRef>
          </c:val>
        </c:ser>
        <c:dLbls>
          <c:showLegendKey val="0"/>
          <c:showVal val="0"/>
          <c:showCatName val="0"/>
          <c:showSerName val="0"/>
          <c:showPercent val="0"/>
          <c:showBubbleSize val="0"/>
        </c:dLbls>
        <c:gapWidth val="150"/>
        <c:overlap val="100"/>
        <c:axId val="2100068968"/>
        <c:axId val="2098733496"/>
      </c:barChart>
      <c:catAx>
        <c:axId val="2100068968"/>
        <c:scaling>
          <c:orientation val="minMax"/>
        </c:scaling>
        <c:delete val="0"/>
        <c:axPos val="b"/>
        <c:title>
          <c:tx>
            <c:rich>
              <a:bodyPr/>
              <a:lstStyle/>
              <a:p>
                <a:pPr>
                  <a:defRPr/>
                </a:pPr>
                <a:r>
                  <a:rPr lang="en-US"/>
                  <a:t>Category</a:t>
                </a:r>
              </a:p>
            </c:rich>
          </c:tx>
          <c:layout>
            <c:manualLayout>
              <c:xMode val="edge"/>
              <c:yMode val="edge"/>
              <c:x val="0.441463692038495"/>
              <c:y val="0.916666666666667"/>
            </c:manualLayout>
          </c:layout>
          <c:overlay val="0"/>
        </c:title>
        <c:majorTickMark val="out"/>
        <c:minorTickMark val="none"/>
        <c:tickLblPos val="nextTo"/>
        <c:crossAx val="2098733496"/>
        <c:crosses val="autoZero"/>
        <c:auto val="1"/>
        <c:lblAlgn val="ctr"/>
        <c:lblOffset val="100"/>
        <c:noMultiLvlLbl val="0"/>
      </c:catAx>
      <c:valAx>
        <c:axId val="2098733496"/>
        <c:scaling>
          <c:orientation val="minMax"/>
        </c:scaling>
        <c:delete val="0"/>
        <c:axPos val="l"/>
        <c:majorGridlines/>
        <c:title>
          <c:tx>
            <c:rich>
              <a:bodyPr rot="-5400000" vert="horz"/>
              <a:lstStyle/>
              <a:p>
                <a:pPr>
                  <a:defRPr/>
                </a:pPr>
                <a:r>
                  <a:rPr lang="en-US"/>
                  <a:t>Annual Harvest ('000s of tons)</a:t>
                </a:r>
              </a:p>
            </c:rich>
          </c:tx>
          <c:overlay val="0"/>
        </c:title>
        <c:numFmt formatCode="General" sourceLinked="1"/>
        <c:majorTickMark val="out"/>
        <c:minorTickMark val="none"/>
        <c:tickLblPos val="nextTo"/>
        <c:crossAx val="2100068968"/>
        <c:crosses val="autoZero"/>
        <c:crossBetween val="between"/>
      </c:valAx>
    </c:plotArea>
    <c:legend>
      <c:legendPos val="r"/>
      <c:layout>
        <c:manualLayout>
          <c:xMode val="edge"/>
          <c:yMode val="edge"/>
          <c:x val="0.852492782152231"/>
          <c:y val="0.314430956547098"/>
          <c:w val="0.125284995625547"/>
          <c:h val="0.371905803441236"/>
        </c:manualLayout>
      </c:layout>
      <c:overlay val="0"/>
    </c:legend>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Coho Salmon:</a:t>
            </a:r>
            <a:r>
              <a:rPr lang="en-US" sz="1200" baseline="0"/>
              <a:t> By Category and Region</a:t>
            </a:r>
            <a:endParaRPr lang="en-US" sz="1200"/>
          </a:p>
        </c:rich>
      </c:tx>
      <c:overlay val="0"/>
    </c:title>
    <c:autoTitleDeleted val="0"/>
    <c:plotArea>
      <c:layout>
        <c:manualLayout>
          <c:layoutTarget val="inner"/>
          <c:xMode val="edge"/>
          <c:yMode val="edge"/>
          <c:x val="0.147988407699038"/>
          <c:y val="0.171296296296296"/>
          <c:w val="0.701726596675416"/>
          <c:h val="0.669691601049869"/>
        </c:manualLayout>
      </c:layout>
      <c:barChart>
        <c:barDir val="col"/>
        <c:grouping val="stacked"/>
        <c:varyColors val="0"/>
        <c:ser>
          <c:idx val="0"/>
          <c:order val="0"/>
          <c:tx>
            <c:v>Alaska</c:v>
          </c:tx>
          <c:invertIfNegative val="0"/>
          <c:cat>
            <c:strRef>
              <c:f>'Species &amp; Region'!$S$16:$U$16</c:f>
              <c:strCache>
                <c:ptCount val="3"/>
                <c:pt idx="0">
                  <c:v>A</c:v>
                </c:pt>
                <c:pt idx="1">
                  <c:v>B</c:v>
                </c:pt>
                <c:pt idx="2">
                  <c:v>C</c:v>
                </c:pt>
              </c:strCache>
            </c:strRef>
          </c:cat>
          <c:val>
            <c:numRef>
              <c:f>'Species &amp; Region'!$S$17:$U$17</c:f>
              <c:numCache>
                <c:formatCode>General</c:formatCode>
                <c:ptCount val="3"/>
                <c:pt idx="0">
                  <c:v>10.52</c:v>
                </c:pt>
                <c:pt idx="1">
                  <c:v>1.44</c:v>
                </c:pt>
                <c:pt idx="2">
                  <c:v>0.0</c:v>
                </c:pt>
              </c:numCache>
            </c:numRef>
          </c:val>
        </c:ser>
        <c:ser>
          <c:idx val="1"/>
          <c:order val="1"/>
          <c:tx>
            <c:v>BC</c:v>
          </c:tx>
          <c:spPr>
            <a:solidFill>
              <a:srgbClr val="FF6600"/>
            </a:solidFill>
          </c:spPr>
          <c:invertIfNegative val="0"/>
          <c:cat>
            <c:strRef>
              <c:f>'Species &amp; Region'!$S$16:$U$16</c:f>
              <c:strCache>
                <c:ptCount val="3"/>
                <c:pt idx="0">
                  <c:v>A</c:v>
                </c:pt>
                <c:pt idx="1">
                  <c:v>B</c:v>
                </c:pt>
                <c:pt idx="2">
                  <c:v>C</c:v>
                </c:pt>
              </c:strCache>
            </c:strRef>
          </c:cat>
          <c:val>
            <c:numRef>
              <c:f>'Species &amp; Region'!$S$18:$U$18</c:f>
              <c:numCache>
                <c:formatCode>General</c:formatCode>
                <c:ptCount val="3"/>
                <c:pt idx="0">
                  <c:v>0.0</c:v>
                </c:pt>
                <c:pt idx="1">
                  <c:v>0.62</c:v>
                </c:pt>
                <c:pt idx="2">
                  <c:v>0.0</c:v>
                </c:pt>
              </c:numCache>
            </c:numRef>
          </c:val>
        </c:ser>
        <c:ser>
          <c:idx val="2"/>
          <c:order val="2"/>
          <c:tx>
            <c:v>PNW</c:v>
          </c:tx>
          <c:spPr>
            <a:solidFill>
              <a:schemeClr val="accent3">
                <a:lumMod val="50000"/>
              </a:schemeClr>
            </a:solidFill>
            <a:ln>
              <a:solidFill>
                <a:schemeClr val="accent3">
                  <a:lumMod val="50000"/>
                </a:schemeClr>
              </a:solidFill>
            </a:ln>
          </c:spPr>
          <c:invertIfNegative val="0"/>
          <c:cat>
            <c:strRef>
              <c:f>'Species &amp; Region'!$S$16:$U$16</c:f>
              <c:strCache>
                <c:ptCount val="3"/>
                <c:pt idx="0">
                  <c:v>A</c:v>
                </c:pt>
                <c:pt idx="1">
                  <c:v>B</c:v>
                </c:pt>
                <c:pt idx="2">
                  <c:v>C</c:v>
                </c:pt>
              </c:strCache>
            </c:strRef>
          </c:cat>
          <c:val>
            <c:numRef>
              <c:f>'Species &amp; Region'!$S$19:$U$19</c:f>
              <c:numCache>
                <c:formatCode>General</c:formatCode>
                <c:ptCount val="3"/>
                <c:pt idx="0">
                  <c:v>0.0</c:v>
                </c:pt>
                <c:pt idx="1">
                  <c:v>0.0</c:v>
                </c:pt>
                <c:pt idx="2" formatCode="0.00">
                  <c:v>0.11</c:v>
                </c:pt>
              </c:numCache>
            </c:numRef>
          </c:val>
        </c:ser>
        <c:dLbls>
          <c:showLegendKey val="0"/>
          <c:showVal val="0"/>
          <c:showCatName val="0"/>
          <c:showSerName val="0"/>
          <c:showPercent val="0"/>
          <c:showBubbleSize val="0"/>
        </c:dLbls>
        <c:gapWidth val="150"/>
        <c:overlap val="100"/>
        <c:axId val="2097162248"/>
        <c:axId val="2097156840"/>
      </c:barChart>
      <c:catAx>
        <c:axId val="2097162248"/>
        <c:scaling>
          <c:orientation val="minMax"/>
        </c:scaling>
        <c:delete val="0"/>
        <c:axPos val="b"/>
        <c:title>
          <c:tx>
            <c:rich>
              <a:bodyPr/>
              <a:lstStyle/>
              <a:p>
                <a:pPr>
                  <a:defRPr/>
                </a:pPr>
                <a:r>
                  <a:rPr lang="en-US"/>
                  <a:t>Category</a:t>
                </a:r>
              </a:p>
            </c:rich>
          </c:tx>
          <c:layout>
            <c:manualLayout>
              <c:xMode val="edge"/>
              <c:yMode val="edge"/>
              <c:x val="0.441463692038495"/>
              <c:y val="0.916666666666667"/>
            </c:manualLayout>
          </c:layout>
          <c:overlay val="0"/>
        </c:title>
        <c:majorTickMark val="out"/>
        <c:minorTickMark val="none"/>
        <c:tickLblPos val="nextTo"/>
        <c:crossAx val="2097156840"/>
        <c:crosses val="autoZero"/>
        <c:auto val="1"/>
        <c:lblAlgn val="ctr"/>
        <c:lblOffset val="100"/>
        <c:noMultiLvlLbl val="0"/>
      </c:catAx>
      <c:valAx>
        <c:axId val="2097156840"/>
        <c:scaling>
          <c:orientation val="minMax"/>
        </c:scaling>
        <c:delete val="0"/>
        <c:axPos val="l"/>
        <c:majorGridlines/>
        <c:title>
          <c:tx>
            <c:rich>
              <a:bodyPr rot="-5400000" vert="horz"/>
              <a:lstStyle/>
              <a:p>
                <a:pPr>
                  <a:defRPr/>
                </a:pPr>
                <a:r>
                  <a:rPr lang="en-US"/>
                  <a:t>Annual Harvest ('000s of tons)</a:t>
                </a:r>
              </a:p>
            </c:rich>
          </c:tx>
          <c:overlay val="0"/>
        </c:title>
        <c:numFmt formatCode="General" sourceLinked="1"/>
        <c:majorTickMark val="out"/>
        <c:minorTickMark val="none"/>
        <c:tickLblPos val="nextTo"/>
        <c:crossAx val="2097162248"/>
        <c:crosses val="autoZero"/>
        <c:crossBetween val="between"/>
      </c:valAx>
    </c:plotArea>
    <c:legend>
      <c:legendPos val="r"/>
      <c:layout>
        <c:manualLayout>
          <c:xMode val="edge"/>
          <c:yMode val="edge"/>
          <c:x val="0.852492782152231"/>
          <c:y val="0.314430956547098"/>
          <c:w val="0.124707636365061"/>
          <c:h val="0.360052119066374"/>
        </c:manualLayout>
      </c:layout>
      <c:overlay val="0"/>
    </c:legend>
    <c:plotVisOnly val="1"/>
    <c:dispBlanksAs val="gap"/>
    <c:showDLblsOverMax val="0"/>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Pink Salmon:</a:t>
            </a:r>
            <a:r>
              <a:rPr lang="en-US" sz="1200" baseline="0"/>
              <a:t> By Category and Region</a:t>
            </a:r>
            <a:endParaRPr lang="en-US" sz="1200"/>
          </a:p>
        </c:rich>
      </c:tx>
      <c:overlay val="0"/>
    </c:title>
    <c:autoTitleDeleted val="0"/>
    <c:plotArea>
      <c:layout>
        <c:manualLayout>
          <c:layoutTarget val="inner"/>
          <c:xMode val="edge"/>
          <c:yMode val="edge"/>
          <c:x val="0.147988407699038"/>
          <c:y val="0.171296296296296"/>
          <c:w val="0.701726596675416"/>
          <c:h val="0.669691601049869"/>
        </c:manualLayout>
      </c:layout>
      <c:barChart>
        <c:barDir val="col"/>
        <c:grouping val="stacked"/>
        <c:varyColors val="0"/>
        <c:ser>
          <c:idx val="0"/>
          <c:order val="0"/>
          <c:tx>
            <c:v>Alaska</c:v>
          </c:tx>
          <c:invertIfNegative val="0"/>
          <c:cat>
            <c:strRef>
              <c:f>'Species &amp; Region'!$S$22:$U$22</c:f>
              <c:strCache>
                <c:ptCount val="3"/>
                <c:pt idx="0">
                  <c:v>A</c:v>
                </c:pt>
                <c:pt idx="1">
                  <c:v>B</c:v>
                </c:pt>
                <c:pt idx="2">
                  <c:v>C</c:v>
                </c:pt>
              </c:strCache>
            </c:strRef>
          </c:cat>
          <c:val>
            <c:numRef>
              <c:f>'Species &amp; Region'!$S$23:$U$23</c:f>
              <c:numCache>
                <c:formatCode>General</c:formatCode>
                <c:ptCount val="3"/>
                <c:pt idx="0">
                  <c:v>90.905</c:v>
                </c:pt>
                <c:pt idx="1">
                  <c:v>34.675</c:v>
                </c:pt>
                <c:pt idx="2">
                  <c:v>81.02000000000001</c:v>
                </c:pt>
              </c:numCache>
            </c:numRef>
          </c:val>
        </c:ser>
        <c:ser>
          <c:idx val="1"/>
          <c:order val="1"/>
          <c:tx>
            <c:v>BC</c:v>
          </c:tx>
          <c:spPr>
            <a:solidFill>
              <a:srgbClr val="FF6600"/>
            </a:solidFill>
          </c:spPr>
          <c:invertIfNegative val="0"/>
          <c:cat>
            <c:strRef>
              <c:f>'Species &amp; Region'!$S$22:$U$22</c:f>
              <c:strCache>
                <c:ptCount val="3"/>
                <c:pt idx="0">
                  <c:v>A</c:v>
                </c:pt>
                <c:pt idx="1">
                  <c:v>B</c:v>
                </c:pt>
                <c:pt idx="2">
                  <c:v>C</c:v>
                </c:pt>
              </c:strCache>
            </c:strRef>
          </c:cat>
          <c:val>
            <c:numRef>
              <c:f>'Species &amp; Region'!$S$24:$U$24</c:f>
              <c:numCache>
                <c:formatCode>General</c:formatCode>
                <c:ptCount val="3"/>
                <c:pt idx="0">
                  <c:v>0.0</c:v>
                </c:pt>
                <c:pt idx="1">
                  <c:v>5.085</c:v>
                </c:pt>
                <c:pt idx="2">
                  <c:v>0.0</c:v>
                </c:pt>
              </c:numCache>
            </c:numRef>
          </c:val>
        </c:ser>
        <c:ser>
          <c:idx val="3"/>
          <c:order val="2"/>
          <c:tx>
            <c:v>Russia</c:v>
          </c:tx>
          <c:spPr>
            <a:solidFill>
              <a:srgbClr val="FFFF00"/>
            </a:solidFill>
          </c:spPr>
          <c:invertIfNegative val="0"/>
          <c:cat>
            <c:strRef>
              <c:f>'Species &amp; Region'!$S$22:$U$22</c:f>
              <c:strCache>
                <c:ptCount val="3"/>
                <c:pt idx="0">
                  <c:v>A</c:v>
                </c:pt>
                <c:pt idx="1">
                  <c:v>B</c:v>
                </c:pt>
                <c:pt idx="2">
                  <c:v>C</c:v>
                </c:pt>
              </c:strCache>
            </c:strRef>
          </c:cat>
          <c:val>
            <c:numRef>
              <c:f>'Species &amp; Region'!$S$25:$U$25</c:f>
              <c:numCache>
                <c:formatCode>General</c:formatCode>
                <c:ptCount val="3"/>
                <c:pt idx="0">
                  <c:v>0.1515</c:v>
                </c:pt>
                <c:pt idx="1">
                  <c:v>153.2445</c:v>
                </c:pt>
                <c:pt idx="2">
                  <c:v>111.374</c:v>
                </c:pt>
              </c:numCache>
            </c:numRef>
          </c:val>
        </c:ser>
        <c:dLbls>
          <c:showLegendKey val="0"/>
          <c:showVal val="0"/>
          <c:showCatName val="0"/>
          <c:showSerName val="0"/>
          <c:showPercent val="0"/>
          <c:showBubbleSize val="0"/>
        </c:dLbls>
        <c:gapWidth val="150"/>
        <c:overlap val="100"/>
        <c:axId val="2100094872"/>
        <c:axId val="2101425304"/>
      </c:barChart>
      <c:catAx>
        <c:axId val="2100094872"/>
        <c:scaling>
          <c:orientation val="minMax"/>
        </c:scaling>
        <c:delete val="0"/>
        <c:axPos val="b"/>
        <c:title>
          <c:tx>
            <c:rich>
              <a:bodyPr/>
              <a:lstStyle/>
              <a:p>
                <a:pPr>
                  <a:defRPr/>
                </a:pPr>
                <a:r>
                  <a:rPr lang="en-US"/>
                  <a:t>Category</a:t>
                </a:r>
              </a:p>
            </c:rich>
          </c:tx>
          <c:layout>
            <c:manualLayout>
              <c:xMode val="edge"/>
              <c:yMode val="edge"/>
              <c:x val="0.441463692038495"/>
              <c:y val="0.916666666666667"/>
            </c:manualLayout>
          </c:layout>
          <c:overlay val="0"/>
        </c:title>
        <c:majorTickMark val="out"/>
        <c:minorTickMark val="none"/>
        <c:tickLblPos val="nextTo"/>
        <c:crossAx val="2101425304"/>
        <c:crosses val="autoZero"/>
        <c:auto val="1"/>
        <c:lblAlgn val="ctr"/>
        <c:lblOffset val="100"/>
        <c:noMultiLvlLbl val="0"/>
      </c:catAx>
      <c:valAx>
        <c:axId val="2101425304"/>
        <c:scaling>
          <c:orientation val="minMax"/>
        </c:scaling>
        <c:delete val="0"/>
        <c:axPos val="l"/>
        <c:majorGridlines/>
        <c:title>
          <c:tx>
            <c:rich>
              <a:bodyPr rot="-5400000" vert="horz"/>
              <a:lstStyle/>
              <a:p>
                <a:pPr>
                  <a:defRPr/>
                </a:pPr>
                <a:r>
                  <a:rPr lang="en-US"/>
                  <a:t>Annual Harvest ('000s of tons)</a:t>
                </a:r>
              </a:p>
            </c:rich>
          </c:tx>
          <c:overlay val="0"/>
        </c:title>
        <c:numFmt formatCode="General" sourceLinked="1"/>
        <c:majorTickMark val="out"/>
        <c:minorTickMark val="none"/>
        <c:tickLblPos val="nextTo"/>
        <c:crossAx val="2100094872"/>
        <c:crosses val="autoZero"/>
        <c:crossBetween val="between"/>
      </c:valAx>
    </c:plotArea>
    <c:legend>
      <c:legendPos val="r"/>
      <c:layout>
        <c:manualLayout>
          <c:xMode val="edge"/>
          <c:yMode val="edge"/>
          <c:x val="0.852492782152231"/>
          <c:y val="0.314430956547098"/>
          <c:w val="0.125284995625547"/>
          <c:h val="0.371905803441236"/>
        </c:manualLayout>
      </c:layout>
      <c:overlay val="0"/>
    </c:legend>
    <c:plotVisOnly val="1"/>
    <c:dispBlanksAs val="gap"/>
    <c:showDLblsOverMax val="0"/>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Sockeye Salmon:</a:t>
            </a:r>
            <a:r>
              <a:rPr lang="en-US" sz="1200" baseline="0"/>
              <a:t> By Category and Region</a:t>
            </a:r>
            <a:endParaRPr lang="en-US" sz="1200"/>
          </a:p>
        </c:rich>
      </c:tx>
      <c:overlay val="0"/>
    </c:title>
    <c:autoTitleDeleted val="0"/>
    <c:plotArea>
      <c:layout>
        <c:manualLayout>
          <c:layoutTarget val="inner"/>
          <c:xMode val="edge"/>
          <c:yMode val="edge"/>
          <c:x val="0.147988407699038"/>
          <c:y val="0.171296296296296"/>
          <c:w val="0.701726596675416"/>
          <c:h val="0.669691601049869"/>
        </c:manualLayout>
      </c:layout>
      <c:barChart>
        <c:barDir val="col"/>
        <c:grouping val="stacked"/>
        <c:varyColors val="0"/>
        <c:ser>
          <c:idx val="0"/>
          <c:order val="0"/>
          <c:tx>
            <c:v>Alaska</c:v>
          </c:tx>
          <c:invertIfNegative val="0"/>
          <c:cat>
            <c:strRef>
              <c:f>'Species &amp; Region'!$S$28:$U$28</c:f>
              <c:strCache>
                <c:ptCount val="3"/>
                <c:pt idx="0">
                  <c:v>A</c:v>
                </c:pt>
                <c:pt idx="1">
                  <c:v>B</c:v>
                </c:pt>
                <c:pt idx="2">
                  <c:v>C</c:v>
                </c:pt>
              </c:strCache>
            </c:strRef>
          </c:cat>
          <c:val>
            <c:numRef>
              <c:f>'Species &amp; Region'!$S$29:$U$29</c:f>
              <c:numCache>
                <c:formatCode>General</c:formatCode>
                <c:ptCount val="3"/>
                <c:pt idx="0">
                  <c:v>69.625</c:v>
                </c:pt>
                <c:pt idx="1">
                  <c:v>7.454999999999999</c:v>
                </c:pt>
                <c:pt idx="2">
                  <c:v>3.7595</c:v>
                </c:pt>
              </c:numCache>
            </c:numRef>
          </c:val>
        </c:ser>
        <c:ser>
          <c:idx val="1"/>
          <c:order val="1"/>
          <c:tx>
            <c:v>BC</c:v>
          </c:tx>
          <c:spPr>
            <a:solidFill>
              <a:srgbClr val="FF6600"/>
            </a:solidFill>
          </c:spPr>
          <c:invertIfNegative val="0"/>
          <c:cat>
            <c:strRef>
              <c:f>'Species &amp; Region'!$S$28:$U$28</c:f>
              <c:strCache>
                <c:ptCount val="3"/>
                <c:pt idx="0">
                  <c:v>A</c:v>
                </c:pt>
                <c:pt idx="1">
                  <c:v>B</c:v>
                </c:pt>
                <c:pt idx="2">
                  <c:v>C</c:v>
                </c:pt>
              </c:strCache>
            </c:strRef>
          </c:cat>
          <c:val>
            <c:numRef>
              <c:f>'Species &amp; Region'!$S$30:$U$30</c:f>
              <c:numCache>
                <c:formatCode>General</c:formatCode>
                <c:ptCount val="3"/>
                <c:pt idx="0">
                  <c:v>0.805</c:v>
                </c:pt>
                <c:pt idx="1">
                  <c:v>1.53</c:v>
                </c:pt>
                <c:pt idx="2">
                  <c:v>0.0</c:v>
                </c:pt>
              </c:numCache>
            </c:numRef>
          </c:val>
        </c:ser>
        <c:ser>
          <c:idx val="3"/>
          <c:order val="2"/>
          <c:tx>
            <c:v>Russia</c:v>
          </c:tx>
          <c:spPr>
            <a:solidFill>
              <a:srgbClr val="FFFF00"/>
            </a:solidFill>
          </c:spPr>
          <c:invertIfNegative val="0"/>
          <c:cat>
            <c:strRef>
              <c:f>'Species &amp; Region'!$S$28:$U$28</c:f>
              <c:strCache>
                <c:ptCount val="3"/>
                <c:pt idx="0">
                  <c:v>A</c:v>
                </c:pt>
                <c:pt idx="1">
                  <c:v>B</c:v>
                </c:pt>
                <c:pt idx="2">
                  <c:v>C</c:v>
                </c:pt>
              </c:strCache>
            </c:strRef>
          </c:cat>
          <c:val>
            <c:numRef>
              <c:f>'Species &amp; Region'!$S$32:$U$32</c:f>
              <c:numCache>
                <c:formatCode>General</c:formatCode>
                <c:ptCount val="3"/>
                <c:pt idx="0">
                  <c:v>0.0</c:v>
                </c:pt>
                <c:pt idx="1">
                  <c:v>43.725</c:v>
                </c:pt>
                <c:pt idx="2">
                  <c:v>11.25</c:v>
                </c:pt>
              </c:numCache>
            </c:numRef>
          </c:val>
        </c:ser>
        <c:dLbls>
          <c:showLegendKey val="0"/>
          <c:showVal val="0"/>
          <c:showCatName val="0"/>
          <c:showSerName val="0"/>
          <c:showPercent val="0"/>
          <c:showBubbleSize val="0"/>
        </c:dLbls>
        <c:gapWidth val="150"/>
        <c:overlap val="100"/>
        <c:axId val="2101464728"/>
        <c:axId val="2101470184"/>
      </c:barChart>
      <c:catAx>
        <c:axId val="2101464728"/>
        <c:scaling>
          <c:orientation val="minMax"/>
        </c:scaling>
        <c:delete val="0"/>
        <c:axPos val="b"/>
        <c:title>
          <c:tx>
            <c:rich>
              <a:bodyPr/>
              <a:lstStyle/>
              <a:p>
                <a:pPr>
                  <a:defRPr/>
                </a:pPr>
                <a:r>
                  <a:rPr lang="en-US"/>
                  <a:t>Category</a:t>
                </a:r>
              </a:p>
            </c:rich>
          </c:tx>
          <c:layout>
            <c:manualLayout>
              <c:xMode val="edge"/>
              <c:yMode val="edge"/>
              <c:x val="0.441463692038495"/>
              <c:y val="0.916666666666667"/>
            </c:manualLayout>
          </c:layout>
          <c:overlay val="0"/>
        </c:title>
        <c:majorTickMark val="out"/>
        <c:minorTickMark val="none"/>
        <c:tickLblPos val="nextTo"/>
        <c:crossAx val="2101470184"/>
        <c:crosses val="autoZero"/>
        <c:auto val="1"/>
        <c:lblAlgn val="ctr"/>
        <c:lblOffset val="100"/>
        <c:noMultiLvlLbl val="0"/>
      </c:catAx>
      <c:valAx>
        <c:axId val="2101470184"/>
        <c:scaling>
          <c:orientation val="minMax"/>
        </c:scaling>
        <c:delete val="0"/>
        <c:axPos val="l"/>
        <c:majorGridlines/>
        <c:title>
          <c:tx>
            <c:rich>
              <a:bodyPr rot="-5400000" vert="horz"/>
              <a:lstStyle/>
              <a:p>
                <a:pPr>
                  <a:defRPr/>
                </a:pPr>
                <a:r>
                  <a:rPr lang="en-US"/>
                  <a:t>Annual Harvest ('000s of tons)</a:t>
                </a:r>
              </a:p>
            </c:rich>
          </c:tx>
          <c:overlay val="0"/>
        </c:title>
        <c:numFmt formatCode="General" sourceLinked="1"/>
        <c:majorTickMark val="out"/>
        <c:minorTickMark val="none"/>
        <c:tickLblPos val="nextTo"/>
        <c:crossAx val="2101464728"/>
        <c:crosses val="autoZero"/>
        <c:crossBetween val="between"/>
      </c:valAx>
    </c:plotArea>
    <c:legend>
      <c:legendPos val="r"/>
      <c:layout>
        <c:manualLayout>
          <c:xMode val="edge"/>
          <c:yMode val="edge"/>
          <c:x val="0.852492782152231"/>
          <c:y val="0.314430956547098"/>
          <c:w val="0.125284995625547"/>
          <c:h val="0.371905803441236"/>
        </c:manualLayout>
      </c:layout>
      <c:overlay val="0"/>
    </c:legend>
    <c:plotVisOnly val="1"/>
    <c:dispBlanksAs val="gap"/>
    <c:showDLblsOverMax val="0"/>
  </c:chart>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pieChart>
        <c:varyColors val="1"/>
        <c:ser>
          <c:idx val="0"/>
          <c:order val="0"/>
          <c:dPt>
            <c:idx val="0"/>
            <c:bubble3D val="0"/>
            <c:spPr>
              <a:solidFill>
                <a:srgbClr val="FFFF00"/>
              </a:solidFill>
              <a:ln>
                <a:solidFill>
                  <a:schemeClr val="tx1"/>
                </a:solidFill>
              </a:ln>
            </c:spPr>
          </c:dPt>
          <c:dPt>
            <c:idx val="1"/>
            <c:bubble3D val="0"/>
            <c:spPr>
              <a:solidFill>
                <a:srgbClr val="FFFF00"/>
              </a:solidFill>
              <a:ln>
                <a:solidFill>
                  <a:schemeClr val="tx1"/>
                </a:solidFill>
              </a:ln>
            </c:spPr>
          </c:dPt>
          <c:dPt>
            <c:idx val="2"/>
            <c:bubble3D val="0"/>
            <c:spPr>
              <a:solidFill>
                <a:srgbClr val="FF0000"/>
              </a:solidFill>
              <a:ln>
                <a:solidFill>
                  <a:schemeClr val="tx1"/>
                </a:solidFill>
              </a:ln>
            </c:spPr>
          </c:dPt>
          <c:dPt>
            <c:idx val="3"/>
            <c:bubble3D val="0"/>
            <c:spPr>
              <a:solidFill>
                <a:srgbClr val="FF0000"/>
              </a:solidFill>
              <a:ln>
                <a:solidFill>
                  <a:schemeClr val="tx1"/>
                </a:solidFill>
              </a:ln>
            </c:spPr>
          </c:dPt>
          <c:dPt>
            <c:idx val="4"/>
            <c:bubble3D val="0"/>
            <c:spPr>
              <a:solidFill>
                <a:srgbClr val="FF0000"/>
              </a:solidFill>
              <a:ln>
                <a:solidFill>
                  <a:schemeClr val="tx1"/>
                </a:solidFill>
              </a:ln>
            </c:spPr>
          </c:dPt>
          <c:dPt>
            <c:idx val="5"/>
            <c:bubble3D val="0"/>
            <c:spPr>
              <a:solidFill>
                <a:srgbClr val="FF0000"/>
              </a:solidFill>
              <a:ln>
                <a:solidFill>
                  <a:schemeClr val="tx1"/>
                </a:solidFill>
              </a:ln>
            </c:spPr>
          </c:dPt>
          <c:dLbls>
            <c:dLbl>
              <c:idx val="0"/>
              <c:layout>
                <c:manualLayout>
                  <c:x val="-0.182413887950277"/>
                  <c:y val="0.151710598611399"/>
                </c:manualLayout>
              </c:layout>
              <c:showLegendKey val="0"/>
              <c:showVal val="0"/>
              <c:showCatName val="1"/>
              <c:showSerName val="0"/>
              <c:showPercent val="1"/>
              <c:showBubbleSize val="0"/>
            </c:dLbl>
            <c:dLbl>
              <c:idx val="1"/>
              <c:layout>
                <c:manualLayout>
                  <c:x val="0.00663336590855716"/>
                  <c:y val="0.00433882500259139"/>
                </c:manualLayout>
              </c:layout>
              <c:showLegendKey val="0"/>
              <c:showVal val="0"/>
              <c:showCatName val="1"/>
              <c:showSerName val="0"/>
              <c:showPercent val="1"/>
              <c:showBubbleSize val="0"/>
            </c:dLbl>
            <c:dLbl>
              <c:idx val="2"/>
              <c:layout>
                <c:manualLayout>
                  <c:x val="-0.0274437560656722"/>
                  <c:y val="0.0585343550973869"/>
                </c:manualLayout>
              </c:layout>
              <c:tx>
                <c:rich>
                  <a:bodyPr/>
                  <a:lstStyle/>
                  <a:p>
                    <a:r>
                      <a:rPr lang="en-US"/>
                      <a:t>West Coast Vancouver Island British Columbia Chinook troll
2%</a:t>
                    </a:r>
                  </a:p>
                </c:rich>
              </c:tx>
              <c:showLegendKey val="0"/>
              <c:showVal val="0"/>
              <c:showCatName val="1"/>
              <c:showSerName val="0"/>
              <c:showPercent val="1"/>
              <c:showBubbleSize val="0"/>
            </c:dLbl>
            <c:dLbl>
              <c:idx val="3"/>
              <c:layout>
                <c:manualLayout>
                  <c:x val="0.130288346095038"/>
                  <c:y val="-0.239235302114733"/>
                </c:manualLayout>
              </c:layout>
              <c:showLegendKey val="0"/>
              <c:showVal val="0"/>
              <c:showCatName val="1"/>
              <c:showSerName val="0"/>
              <c:showPercent val="1"/>
              <c:showBubbleSize val="0"/>
            </c:dLbl>
            <c:dLbl>
              <c:idx val="4"/>
              <c:layout>
                <c:manualLayout>
                  <c:x val="0.212187516803741"/>
                  <c:y val="0.117467733440318"/>
                </c:manualLayout>
              </c:layout>
              <c:tx>
                <c:rich>
                  <a:bodyPr/>
                  <a:lstStyle/>
                  <a:p>
                    <a:r>
                      <a:rPr lang="en-US"/>
                      <a:t>Japan sockeye and chum offshore driftnet</a:t>
                    </a:r>
                    <a:r>
                      <a:rPr lang="en-US" baseline="0"/>
                      <a:t> in Russian EEZ</a:t>
                    </a:r>
                    <a:r>
                      <a:rPr lang="en-US"/>
                      <a:t>
20%</a:t>
                    </a:r>
                  </a:p>
                </c:rich>
              </c:tx>
              <c:showLegendKey val="0"/>
              <c:showVal val="0"/>
              <c:showCatName val="1"/>
              <c:showSerName val="0"/>
              <c:showPercent val="1"/>
              <c:showBubbleSize val="0"/>
            </c:dLbl>
            <c:dLbl>
              <c:idx val="5"/>
              <c:layout>
                <c:manualLayout>
                  <c:x val="0.0936584922206562"/>
                  <c:y val="0.120869448749593"/>
                </c:manualLayout>
              </c:layout>
              <c:tx>
                <c:rich>
                  <a:bodyPr/>
                  <a:lstStyle/>
                  <a:p>
                    <a:r>
                      <a:rPr lang="en-US"/>
                      <a:t>Pacific Northwest Chinook and coho troll fisheries
8%</a:t>
                    </a:r>
                  </a:p>
                </c:rich>
              </c:tx>
              <c:showLegendKey val="0"/>
              <c:showVal val="0"/>
              <c:showCatName val="1"/>
              <c:showSerName val="0"/>
              <c:showPercent val="1"/>
              <c:showBubbleSize val="0"/>
            </c:dLbl>
            <c:txPr>
              <a:bodyPr/>
              <a:lstStyle/>
              <a:p>
                <a:pPr>
                  <a:defRPr sz="1600" b="1"/>
                </a:pPr>
                <a:endParaRPr lang="en-US"/>
              </a:p>
            </c:txPr>
            <c:showLegendKey val="0"/>
            <c:showVal val="0"/>
            <c:showCatName val="1"/>
            <c:showSerName val="0"/>
            <c:showPercent val="1"/>
            <c:showBubbleSize val="0"/>
            <c:showLeaderLines val="1"/>
          </c:dLbls>
          <c:cat>
            <c:strRef>
              <c:f>'Species &amp; Region'!$AA$2:$AA$7</c:f>
              <c:strCache>
                <c:ptCount val="6"/>
                <c:pt idx="0">
                  <c:v>Southeast Alaska Chinook and coho troll</c:v>
                </c:pt>
                <c:pt idx="1">
                  <c:v>North Coast British Columbia Chinook troll</c:v>
                </c:pt>
                <c:pt idx="2">
                  <c:v>West Coast Vancouver Island British Columbia Chinook troll_x000d_</c:v>
                </c:pt>
                <c:pt idx="3">
                  <c:v>Russia sockeye and chum offshore driftnet</c:v>
                </c:pt>
                <c:pt idx="4">
                  <c:v>Japan sockeye and chum offshore driftnet in Russian EEZ_x000d_</c:v>
                </c:pt>
                <c:pt idx="5">
                  <c:v>Pacific Northwest Chinook and coho troll_x000d_</c:v>
                </c:pt>
              </c:strCache>
            </c:strRef>
          </c:cat>
          <c:val>
            <c:numRef>
              <c:f>'Species &amp; Region'!$AC$2:$AC$7</c:f>
              <c:numCache>
                <c:formatCode>0.00%</c:formatCode>
                <c:ptCount val="6"/>
                <c:pt idx="0">
                  <c:v>0.324226558781533</c:v>
                </c:pt>
                <c:pt idx="1">
                  <c:v>0.0638743455497382</c:v>
                </c:pt>
                <c:pt idx="2">
                  <c:v>0.0215135649690623</c:v>
                </c:pt>
                <c:pt idx="3">
                  <c:v>0.376392194193241</c:v>
                </c:pt>
                <c:pt idx="4">
                  <c:v>0.213993336506426</c:v>
                </c:pt>
                <c:pt idx="5">
                  <c:v>0.0927177534507377</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36130296990884"/>
          <c:y val="0.0296803652968036"/>
          <c:w val="0.732357467246055"/>
          <c:h val="0.815259248254346"/>
        </c:manualLayout>
      </c:layout>
      <c:barChart>
        <c:barDir val="col"/>
        <c:grouping val="stacked"/>
        <c:varyColors val="0"/>
        <c:ser>
          <c:idx val="0"/>
          <c:order val="0"/>
          <c:tx>
            <c:v>MSC Certified</c:v>
          </c:tx>
          <c:spPr>
            <a:solidFill>
              <a:srgbClr val="008000"/>
            </a:solidFill>
          </c:spPr>
          <c:invertIfNegative val="0"/>
          <c:cat>
            <c:strRef>
              <c:f>'MSC (1)'!$AA$2:$AE$2</c:f>
              <c:strCache>
                <c:ptCount val="5"/>
                <c:pt idx="0">
                  <c:v>Chinook</c:v>
                </c:pt>
                <c:pt idx="1">
                  <c:v>Chum</c:v>
                </c:pt>
                <c:pt idx="2">
                  <c:v>Coho</c:v>
                </c:pt>
                <c:pt idx="3">
                  <c:v>Pink</c:v>
                </c:pt>
                <c:pt idx="4">
                  <c:v>Sockeye</c:v>
                </c:pt>
              </c:strCache>
            </c:strRef>
          </c:cat>
          <c:val>
            <c:numRef>
              <c:f>'MSC (1)'!$AA$3:$AE$3</c:f>
              <c:numCache>
                <c:formatCode>0.00</c:formatCode>
                <c:ptCount val="5"/>
                <c:pt idx="0">
                  <c:v>2.025</c:v>
                </c:pt>
                <c:pt idx="1">
                  <c:v>71.8</c:v>
                </c:pt>
                <c:pt idx="2">
                  <c:v>11.365</c:v>
                </c:pt>
                <c:pt idx="3">
                  <c:v>177.125</c:v>
                </c:pt>
                <c:pt idx="4">
                  <c:v>111.47</c:v>
                </c:pt>
              </c:numCache>
            </c:numRef>
          </c:val>
        </c:ser>
        <c:ser>
          <c:idx val="1"/>
          <c:order val="1"/>
          <c:tx>
            <c:v>Full Assessment</c:v>
          </c:tx>
          <c:spPr>
            <a:solidFill>
              <a:srgbClr val="FFFF00"/>
            </a:solidFill>
          </c:spPr>
          <c:invertIfNegative val="0"/>
          <c:cat>
            <c:strRef>
              <c:f>'MSC (1)'!$AA$2:$AE$2</c:f>
              <c:strCache>
                <c:ptCount val="5"/>
                <c:pt idx="0">
                  <c:v>Chinook</c:v>
                </c:pt>
                <c:pt idx="1">
                  <c:v>Chum</c:v>
                </c:pt>
                <c:pt idx="2">
                  <c:v>Coho</c:v>
                </c:pt>
                <c:pt idx="3">
                  <c:v>Pink</c:v>
                </c:pt>
                <c:pt idx="4">
                  <c:v>Sockeye</c:v>
                </c:pt>
              </c:strCache>
            </c:strRef>
          </c:cat>
          <c:val>
            <c:numRef>
              <c:f>'MSC (1)'!$AA$4:$AE$4</c:f>
              <c:numCache>
                <c:formatCode>0.00</c:formatCode>
                <c:ptCount val="5"/>
                <c:pt idx="0">
                  <c:v>0.0</c:v>
                </c:pt>
                <c:pt idx="1">
                  <c:v>14.525</c:v>
                </c:pt>
                <c:pt idx="2" formatCode="General">
                  <c:v>0.23</c:v>
                </c:pt>
                <c:pt idx="3">
                  <c:v>95.60000000000001</c:v>
                </c:pt>
                <c:pt idx="4">
                  <c:v>0.55</c:v>
                </c:pt>
              </c:numCache>
            </c:numRef>
          </c:val>
        </c:ser>
        <c:ser>
          <c:idx val="2"/>
          <c:order val="2"/>
          <c:tx>
            <c:v>Not Certified</c:v>
          </c:tx>
          <c:spPr>
            <a:solidFill>
              <a:srgbClr val="FF0000"/>
            </a:solidFill>
          </c:spPr>
          <c:invertIfNegative val="0"/>
          <c:cat>
            <c:strRef>
              <c:f>'MSC (1)'!$AA$2:$AE$2</c:f>
              <c:strCache>
                <c:ptCount val="5"/>
                <c:pt idx="0">
                  <c:v>Chinook</c:v>
                </c:pt>
                <c:pt idx="1">
                  <c:v>Chum</c:v>
                </c:pt>
                <c:pt idx="2">
                  <c:v>Coho</c:v>
                </c:pt>
                <c:pt idx="3">
                  <c:v>Pink</c:v>
                </c:pt>
                <c:pt idx="4">
                  <c:v>Sockeye</c:v>
                </c:pt>
              </c:strCache>
            </c:strRef>
          </c:cat>
          <c:val>
            <c:numRef>
              <c:f>'MSC (1)'!$AA$5:$AE$5</c:f>
              <c:numCache>
                <c:formatCode>0.00</c:formatCode>
                <c:ptCount val="5"/>
                <c:pt idx="0">
                  <c:v>7.117650000000001</c:v>
                </c:pt>
                <c:pt idx="1">
                  <c:v>226.152</c:v>
                </c:pt>
                <c:pt idx="2">
                  <c:v>8.089</c:v>
                </c:pt>
                <c:pt idx="3">
                  <c:v>209.841</c:v>
                </c:pt>
                <c:pt idx="4">
                  <c:v>26.1295</c:v>
                </c:pt>
              </c:numCache>
            </c:numRef>
          </c:val>
        </c:ser>
        <c:dLbls>
          <c:showLegendKey val="0"/>
          <c:showVal val="0"/>
          <c:showCatName val="0"/>
          <c:showSerName val="0"/>
          <c:showPercent val="0"/>
          <c:showBubbleSize val="0"/>
        </c:dLbls>
        <c:gapWidth val="50"/>
        <c:overlap val="100"/>
        <c:axId val="2101515000"/>
        <c:axId val="2101520440"/>
      </c:barChart>
      <c:catAx>
        <c:axId val="2101515000"/>
        <c:scaling>
          <c:orientation val="minMax"/>
        </c:scaling>
        <c:delete val="0"/>
        <c:axPos val="b"/>
        <c:title>
          <c:tx>
            <c:rich>
              <a:bodyPr/>
              <a:lstStyle/>
              <a:p>
                <a:pPr>
                  <a:defRPr sz="1200"/>
                </a:pPr>
                <a:r>
                  <a:rPr lang="en-US" sz="1200"/>
                  <a:t>Species</a:t>
                </a:r>
              </a:p>
            </c:rich>
          </c:tx>
          <c:layout>
            <c:manualLayout>
              <c:xMode val="edge"/>
              <c:yMode val="edge"/>
              <c:x val="0.457755905511811"/>
              <c:y val="0.919245283018868"/>
            </c:manualLayout>
          </c:layout>
          <c:overlay val="0"/>
        </c:title>
        <c:majorTickMark val="out"/>
        <c:minorTickMark val="none"/>
        <c:tickLblPos val="nextTo"/>
        <c:crossAx val="2101520440"/>
        <c:crosses val="autoZero"/>
        <c:auto val="1"/>
        <c:lblAlgn val="ctr"/>
        <c:lblOffset val="100"/>
        <c:tickMarkSkip val="1"/>
        <c:noMultiLvlLbl val="0"/>
      </c:catAx>
      <c:valAx>
        <c:axId val="2101520440"/>
        <c:scaling>
          <c:orientation val="minMax"/>
          <c:max val="500.0"/>
        </c:scaling>
        <c:delete val="0"/>
        <c:axPos val="l"/>
        <c:majorGridlines/>
        <c:title>
          <c:tx>
            <c:rich>
              <a:bodyPr rot="-5400000" vert="horz"/>
              <a:lstStyle/>
              <a:p>
                <a:pPr>
                  <a:defRPr sz="1200"/>
                </a:pPr>
                <a:r>
                  <a:rPr lang="en-US" sz="1200"/>
                  <a:t>Annual</a:t>
                </a:r>
                <a:r>
                  <a:rPr lang="en-US" sz="1200" baseline="0"/>
                  <a:t> Harvest ('000s of tons)</a:t>
                </a:r>
                <a:endParaRPr lang="en-US" sz="1200"/>
              </a:p>
            </c:rich>
          </c:tx>
          <c:layout>
            <c:manualLayout>
              <c:xMode val="edge"/>
              <c:yMode val="edge"/>
              <c:x val="0.0137501971291076"/>
              <c:y val="0.204046902840864"/>
            </c:manualLayout>
          </c:layout>
          <c:overlay val="0"/>
        </c:title>
        <c:numFmt formatCode="0.00" sourceLinked="1"/>
        <c:majorTickMark val="out"/>
        <c:minorTickMark val="none"/>
        <c:tickLblPos val="nextTo"/>
        <c:crossAx val="2101515000"/>
        <c:crosses val="autoZero"/>
        <c:crossBetween val="between"/>
      </c:valAx>
    </c:plotArea>
    <c:legend>
      <c:legendPos val="r"/>
      <c:layout>
        <c:manualLayout>
          <c:xMode val="edge"/>
          <c:yMode val="edge"/>
          <c:x val="0.865971465869253"/>
          <c:y val="0.23540852673579"/>
          <c:w val="0.134028486140057"/>
          <c:h val="0.492403805000621"/>
        </c:manualLayout>
      </c:layout>
      <c:overlay val="0"/>
      <c:txPr>
        <a:bodyPr/>
        <a:lstStyle/>
        <a:p>
          <a:pPr>
            <a:defRPr sz="1000"/>
          </a:pPr>
          <a:endParaRPr lang="en-US"/>
        </a:p>
      </c:txPr>
    </c:legend>
    <c:plotVisOnly val="1"/>
    <c:dispBlanksAs val="gap"/>
    <c:showDLblsOverMax val="0"/>
  </c:chart>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836738499792789"/>
          <c:y val="0.0429752066115702"/>
          <c:w val="0.781727157720243"/>
          <c:h val="0.735175606666332"/>
        </c:manualLayout>
      </c:layout>
      <c:barChart>
        <c:barDir val="col"/>
        <c:grouping val="stacked"/>
        <c:varyColors val="0"/>
        <c:ser>
          <c:idx val="0"/>
          <c:order val="0"/>
          <c:tx>
            <c:strRef>
              <c:f>'MSC (2)'!$A$2</c:f>
              <c:strCache>
                <c:ptCount val="1"/>
                <c:pt idx="0">
                  <c:v>Closed Conditions</c:v>
                </c:pt>
              </c:strCache>
            </c:strRef>
          </c:tx>
          <c:spPr>
            <a:solidFill>
              <a:srgbClr val="008000"/>
            </a:solidFill>
          </c:spPr>
          <c:invertIfNegative val="0"/>
          <c:cat>
            <c:strRef>
              <c:f>'MSC (2)'!$B$1:$I$1</c:f>
              <c:strCache>
                <c:ptCount val="8"/>
                <c:pt idx="0">
                  <c:v>Iturup pink and chum (2009)</c:v>
                </c:pt>
                <c:pt idx="1">
                  <c:v>B.C. sockeye (2010)</c:v>
                </c:pt>
                <c:pt idx="2">
                  <c:v>B.C. pink (2011)</c:v>
                </c:pt>
                <c:pt idx="3">
                  <c:v>Annette Island salmon (2011)</c:v>
                </c:pt>
                <c:pt idx="4">
                  <c:v>NE Sakhalin pink (2012)</c:v>
                </c:pt>
                <c:pt idx="5">
                  <c:v>Ozernaya sockeye (2012)</c:v>
                </c:pt>
                <c:pt idx="6">
                  <c:v>B.C. chum (2013)</c:v>
                </c:pt>
                <c:pt idx="7">
                  <c:v>Alaska salmon (2013)</c:v>
                </c:pt>
              </c:strCache>
            </c:strRef>
          </c:cat>
          <c:val>
            <c:numRef>
              <c:f>'MSC (2)'!$B$2:$I$2</c:f>
              <c:numCache>
                <c:formatCode>General</c:formatCode>
                <c:ptCount val="8"/>
                <c:pt idx="0">
                  <c:v>8.0</c:v>
                </c:pt>
                <c:pt idx="1">
                  <c:v>35.0</c:v>
                </c:pt>
                <c:pt idx="2">
                  <c:v>6.0</c:v>
                </c:pt>
                <c:pt idx="3">
                  <c:v>10.0</c:v>
                </c:pt>
                <c:pt idx="4">
                  <c:v>0.0</c:v>
                </c:pt>
                <c:pt idx="5">
                  <c:v>3.0</c:v>
                </c:pt>
                <c:pt idx="6">
                  <c:v>0.0</c:v>
                </c:pt>
                <c:pt idx="7">
                  <c:v>0.0</c:v>
                </c:pt>
              </c:numCache>
            </c:numRef>
          </c:val>
        </c:ser>
        <c:ser>
          <c:idx val="1"/>
          <c:order val="1"/>
          <c:tx>
            <c:strRef>
              <c:f>'MSC (2)'!$A$3</c:f>
              <c:strCache>
                <c:ptCount val="1"/>
                <c:pt idx="0">
                  <c:v>Open Conditions: On Track</c:v>
                </c:pt>
              </c:strCache>
            </c:strRef>
          </c:tx>
          <c:spPr>
            <a:solidFill>
              <a:srgbClr val="FFFF00"/>
            </a:solidFill>
          </c:spPr>
          <c:invertIfNegative val="0"/>
          <c:cat>
            <c:strRef>
              <c:f>'MSC (2)'!$B$1:$I$1</c:f>
              <c:strCache>
                <c:ptCount val="8"/>
                <c:pt idx="0">
                  <c:v>Iturup pink and chum (2009)</c:v>
                </c:pt>
                <c:pt idx="1">
                  <c:v>B.C. sockeye (2010)</c:v>
                </c:pt>
                <c:pt idx="2">
                  <c:v>B.C. pink (2011)</c:v>
                </c:pt>
                <c:pt idx="3">
                  <c:v>Annette Island salmon (2011)</c:v>
                </c:pt>
                <c:pt idx="4">
                  <c:v>NE Sakhalin pink (2012)</c:v>
                </c:pt>
                <c:pt idx="5">
                  <c:v>Ozernaya sockeye (2012)</c:v>
                </c:pt>
                <c:pt idx="6">
                  <c:v>B.C. chum (2013)</c:v>
                </c:pt>
                <c:pt idx="7">
                  <c:v>Alaska salmon (2013)</c:v>
                </c:pt>
              </c:strCache>
            </c:strRef>
          </c:cat>
          <c:val>
            <c:numRef>
              <c:f>'MSC (2)'!$B$3:$I$3</c:f>
              <c:numCache>
                <c:formatCode>General</c:formatCode>
                <c:ptCount val="8"/>
                <c:pt idx="0">
                  <c:v>1.0</c:v>
                </c:pt>
                <c:pt idx="1">
                  <c:v>0.0</c:v>
                </c:pt>
                <c:pt idx="2">
                  <c:v>6.0</c:v>
                </c:pt>
                <c:pt idx="3">
                  <c:v>8.0</c:v>
                </c:pt>
                <c:pt idx="4">
                  <c:v>3.0</c:v>
                </c:pt>
                <c:pt idx="5">
                  <c:v>6.0</c:v>
                </c:pt>
                <c:pt idx="6">
                  <c:v>33.0</c:v>
                </c:pt>
                <c:pt idx="7">
                  <c:v>6.0</c:v>
                </c:pt>
              </c:numCache>
            </c:numRef>
          </c:val>
        </c:ser>
        <c:ser>
          <c:idx val="2"/>
          <c:order val="2"/>
          <c:tx>
            <c:v>Open Conditions: Past Due</c:v>
          </c:tx>
          <c:spPr>
            <a:solidFill>
              <a:srgbClr val="FF0000"/>
            </a:solidFill>
          </c:spPr>
          <c:invertIfNegative val="0"/>
          <c:cat>
            <c:strRef>
              <c:f>'MSC (2)'!$B$1:$I$1</c:f>
              <c:strCache>
                <c:ptCount val="8"/>
                <c:pt idx="0">
                  <c:v>Iturup pink and chum (2009)</c:v>
                </c:pt>
                <c:pt idx="1">
                  <c:v>B.C. sockeye (2010)</c:v>
                </c:pt>
                <c:pt idx="2">
                  <c:v>B.C. pink (2011)</c:v>
                </c:pt>
                <c:pt idx="3">
                  <c:v>Annette Island salmon (2011)</c:v>
                </c:pt>
                <c:pt idx="4">
                  <c:v>NE Sakhalin pink (2012)</c:v>
                </c:pt>
                <c:pt idx="5">
                  <c:v>Ozernaya sockeye (2012)</c:v>
                </c:pt>
                <c:pt idx="6">
                  <c:v>B.C. chum (2013)</c:v>
                </c:pt>
                <c:pt idx="7">
                  <c:v>Alaska salmon (2013)</c:v>
                </c:pt>
              </c:strCache>
            </c:strRef>
          </c:cat>
          <c:val>
            <c:numRef>
              <c:f>'MSC (2)'!$B$4:$H$4</c:f>
              <c:numCache>
                <c:formatCode>General</c:formatCode>
                <c:ptCount val="7"/>
                <c:pt idx="0">
                  <c:v>0.0</c:v>
                </c:pt>
                <c:pt idx="1">
                  <c:v>10.0</c:v>
                </c:pt>
                <c:pt idx="2">
                  <c:v>10.0</c:v>
                </c:pt>
                <c:pt idx="3">
                  <c:v>4.0</c:v>
                </c:pt>
                <c:pt idx="4">
                  <c:v>4.0</c:v>
                </c:pt>
                <c:pt idx="5">
                  <c:v>0.0</c:v>
                </c:pt>
                <c:pt idx="6">
                  <c:v>0.0</c:v>
                </c:pt>
              </c:numCache>
            </c:numRef>
          </c:val>
        </c:ser>
        <c:dLbls>
          <c:showLegendKey val="0"/>
          <c:showVal val="0"/>
          <c:showCatName val="0"/>
          <c:showSerName val="0"/>
          <c:showPercent val="0"/>
          <c:showBubbleSize val="0"/>
        </c:dLbls>
        <c:gapWidth val="75"/>
        <c:overlap val="100"/>
        <c:axId val="2100450040"/>
        <c:axId val="2101547976"/>
      </c:barChart>
      <c:catAx>
        <c:axId val="2100450040"/>
        <c:scaling>
          <c:orientation val="minMax"/>
        </c:scaling>
        <c:delete val="0"/>
        <c:axPos val="b"/>
        <c:title>
          <c:tx>
            <c:rich>
              <a:bodyPr/>
              <a:lstStyle/>
              <a:p>
                <a:pPr>
                  <a:defRPr sz="1300"/>
                </a:pPr>
                <a:r>
                  <a:rPr lang="en-US" sz="1300"/>
                  <a:t>Fishery and (Date of Assessment)</a:t>
                </a:r>
              </a:p>
            </c:rich>
          </c:tx>
          <c:layout>
            <c:manualLayout>
              <c:xMode val="edge"/>
              <c:yMode val="edge"/>
              <c:x val="0.329792848927592"/>
              <c:y val="0.935050476059748"/>
            </c:manualLayout>
          </c:layout>
          <c:overlay val="0"/>
        </c:title>
        <c:majorTickMark val="out"/>
        <c:minorTickMark val="none"/>
        <c:tickLblPos val="nextTo"/>
        <c:txPr>
          <a:bodyPr/>
          <a:lstStyle/>
          <a:p>
            <a:pPr>
              <a:defRPr sz="1100" b="0"/>
            </a:pPr>
            <a:endParaRPr lang="en-US"/>
          </a:p>
        </c:txPr>
        <c:crossAx val="2101547976"/>
        <c:crosses val="autoZero"/>
        <c:auto val="1"/>
        <c:lblAlgn val="ctr"/>
        <c:lblOffset val="100"/>
        <c:noMultiLvlLbl val="0"/>
      </c:catAx>
      <c:valAx>
        <c:axId val="2101547976"/>
        <c:scaling>
          <c:orientation val="minMax"/>
        </c:scaling>
        <c:delete val="0"/>
        <c:axPos val="l"/>
        <c:majorGridlines/>
        <c:title>
          <c:tx>
            <c:rich>
              <a:bodyPr rot="-5400000" vert="horz"/>
              <a:lstStyle/>
              <a:p>
                <a:pPr>
                  <a:defRPr sz="1300"/>
                </a:pPr>
                <a:r>
                  <a:rPr lang="en-US" sz="1300"/>
                  <a:t>Number of MSC</a:t>
                </a:r>
                <a:r>
                  <a:rPr lang="en-US" sz="1300" baseline="0"/>
                  <a:t> Conditions</a:t>
                </a:r>
                <a:endParaRPr lang="en-US" sz="1300"/>
              </a:p>
            </c:rich>
          </c:tx>
          <c:layout>
            <c:manualLayout>
              <c:xMode val="edge"/>
              <c:yMode val="edge"/>
              <c:x val="0.0107046169790574"/>
              <c:y val="0.230718999026339"/>
            </c:manualLayout>
          </c:layout>
          <c:overlay val="0"/>
        </c:title>
        <c:numFmt formatCode="General" sourceLinked="1"/>
        <c:majorTickMark val="out"/>
        <c:minorTickMark val="none"/>
        <c:tickLblPos val="nextTo"/>
        <c:crossAx val="2100450040"/>
        <c:crosses val="autoZero"/>
        <c:crossBetween val="between"/>
      </c:valAx>
    </c:plotArea>
    <c:legend>
      <c:legendPos val="r"/>
      <c:layout>
        <c:manualLayout>
          <c:xMode val="edge"/>
          <c:yMode val="edge"/>
          <c:x val="0.883628045455537"/>
          <c:y val="0.235263096245201"/>
          <c:w val="0.11360187144197"/>
          <c:h val="0.474365328300904"/>
        </c:manualLayout>
      </c:layout>
      <c:overlay val="0"/>
      <c:txPr>
        <a:bodyPr/>
        <a:lstStyle/>
        <a:p>
          <a:pPr>
            <a:defRPr sz="1200"/>
          </a:pPr>
          <a:endParaRPr lang="en-US"/>
        </a:p>
      </c:txPr>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4" Type="http://schemas.openxmlformats.org/officeDocument/2006/relationships/chart" Target="../charts/chart5.xml"/><Relationship Id="rId5" Type="http://schemas.openxmlformats.org/officeDocument/2006/relationships/chart" Target="../charts/chart6.xml"/><Relationship Id="rId6" Type="http://schemas.openxmlformats.org/officeDocument/2006/relationships/chart" Target="../charts/chart7.xml"/><Relationship Id="rId1" Type="http://schemas.openxmlformats.org/officeDocument/2006/relationships/chart" Target="../charts/chart2.xml"/><Relationship Id="rId2"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4" Type="http://schemas.openxmlformats.org/officeDocument/2006/relationships/chart" Target="../charts/chart13.xml"/><Relationship Id="rId5" Type="http://schemas.openxmlformats.org/officeDocument/2006/relationships/chart" Target="../charts/chart14.xml"/><Relationship Id="rId6" Type="http://schemas.openxmlformats.org/officeDocument/2006/relationships/chart" Target="../charts/chart15.xml"/><Relationship Id="rId1" Type="http://schemas.openxmlformats.org/officeDocument/2006/relationships/chart" Target="../charts/chart10.xml"/><Relationship Id="rId2"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4" Type="http://schemas.openxmlformats.org/officeDocument/2006/relationships/chart" Target="../charts/chart19.xml"/><Relationship Id="rId5" Type="http://schemas.openxmlformats.org/officeDocument/2006/relationships/chart" Target="../charts/chart20.xml"/><Relationship Id="rId6" Type="http://schemas.openxmlformats.org/officeDocument/2006/relationships/chart" Target="../charts/chart21.xml"/><Relationship Id="rId1" Type="http://schemas.openxmlformats.org/officeDocument/2006/relationships/chart" Target="../charts/chart16.xml"/><Relationship Id="rId2"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9</xdr:col>
      <xdr:colOff>678445</xdr:colOff>
      <xdr:row>18</xdr:row>
      <xdr:rowOff>127001</xdr:rowOff>
    </xdr:from>
    <xdr:to>
      <xdr:col>21</xdr:col>
      <xdr:colOff>317500</xdr:colOff>
      <xdr:row>50</xdr:row>
      <xdr:rowOff>101379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177800</xdr:colOff>
      <xdr:row>33</xdr:row>
      <xdr:rowOff>6350</xdr:rowOff>
    </xdr:from>
    <xdr:to>
      <xdr:col>15</xdr:col>
      <xdr:colOff>114300</xdr:colOff>
      <xdr:row>44</xdr:row>
      <xdr:rowOff>82550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342900</xdr:colOff>
      <xdr:row>33</xdr:row>
      <xdr:rowOff>25400</xdr:rowOff>
    </xdr:from>
    <xdr:to>
      <xdr:col>20</xdr:col>
      <xdr:colOff>787400</xdr:colOff>
      <xdr:row>44</xdr:row>
      <xdr:rowOff>101600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228600</xdr:colOff>
      <xdr:row>33</xdr:row>
      <xdr:rowOff>12700</xdr:rowOff>
    </xdr:from>
    <xdr:to>
      <xdr:col>26</xdr:col>
      <xdr:colOff>673100</xdr:colOff>
      <xdr:row>44</xdr:row>
      <xdr:rowOff>88900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215900</xdr:colOff>
      <xdr:row>44</xdr:row>
      <xdr:rowOff>317500</xdr:rowOff>
    </xdr:from>
    <xdr:to>
      <xdr:col>15</xdr:col>
      <xdr:colOff>152400</xdr:colOff>
      <xdr:row>59</xdr:row>
      <xdr:rowOff>12700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330200</xdr:colOff>
      <xdr:row>44</xdr:row>
      <xdr:rowOff>355600</xdr:rowOff>
    </xdr:from>
    <xdr:to>
      <xdr:col>20</xdr:col>
      <xdr:colOff>774700</xdr:colOff>
      <xdr:row>59</xdr:row>
      <xdr:rowOff>50800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30</xdr:col>
      <xdr:colOff>423332</xdr:colOff>
      <xdr:row>1</xdr:row>
      <xdr:rowOff>131232</xdr:rowOff>
    </xdr:from>
    <xdr:to>
      <xdr:col>41</xdr:col>
      <xdr:colOff>825499</xdr:colOff>
      <xdr:row>32</xdr:row>
      <xdr:rowOff>169333</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24</xdr:col>
      <xdr:colOff>831272</xdr:colOff>
      <xdr:row>10</xdr:row>
      <xdr:rowOff>-1</xdr:rowOff>
    </xdr:from>
    <xdr:to>
      <xdr:col>33</xdr:col>
      <xdr:colOff>230909</xdr:colOff>
      <xdr:row>29</xdr:row>
      <xdr:rowOff>115454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1333500</xdr:colOff>
      <xdr:row>6</xdr:row>
      <xdr:rowOff>95250</xdr:rowOff>
    </xdr:from>
    <xdr:to>
      <xdr:col>7</xdr:col>
      <xdr:colOff>558800</xdr:colOff>
      <xdr:row>26</xdr:row>
      <xdr:rowOff>127000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228600</xdr:colOff>
      <xdr:row>21</xdr:row>
      <xdr:rowOff>1</xdr:rowOff>
    </xdr:from>
    <xdr:to>
      <xdr:col>6</xdr:col>
      <xdr:colOff>63500</xdr:colOff>
      <xdr:row>35</xdr:row>
      <xdr:rowOff>63501</xdr:rowOff>
    </xdr:to>
    <xdr:graphicFrame macro="">
      <xdr:nvGraphicFramePr>
        <xdr:cNvPr id="2" name="Chart 1" title="Commercial Harvest 1997-2011 (thousands of fis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21</xdr:row>
      <xdr:rowOff>0</xdr:rowOff>
    </xdr:from>
    <xdr:to>
      <xdr:col>11</xdr:col>
      <xdr:colOff>469900</xdr:colOff>
      <xdr:row>35</xdr:row>
      <xdr:rowOff>63500</xdr:rowOff>
    </xdr:to>
    <xdr:graphicFrame macro="">
      <xdr:nvGraphicFramePr>
        <xdr:cNvPr id="9" name="Chart 8" title="Commercial Harvest 1997-2011 (thousands of fis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21</xdr:row>
      <xdr:rowOff>0</xdr:rowOff>
    </xdr:from>
    <xdr:to>
      <xdr:col>16</xdr:col>
      <xdr:colOff>698500</xdr:colOff>
      <xdr:row>35</xdr:row>
      <xdr:rowOff>63500</xdr:rowOff>
    </xdr:to>
    <xdr:graphicFrame macro="">
      <xdr:nvGraphicFramePr>
        <xdr:cNvPr id="11" name="Chart 10" title="Commercial Harvest 1997-2011 (thousands of fis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0</xdr:colOff>
      <xdr:row>21</xdr:row>
      <xdr:rowOff>0</xdr:rowOff>
    </xdr:from>
    <xdr:to>
      <xdr:col>21</xdr:col>
      <xdr:colOff>520700</xdr:colOff>
      <xdr:row>35</xdr:row>
      <xdr:rowOff>63500</xdr:rowOff>
    </xdr:to>
    <xdr:graphicFrame macro="">
      <xdr:nvGraphicFramePr>
        <xdr:cNvPr id="12" name="Chart 11" title="Commercial Harvest 1997-2011 (thousands of fis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0</xdr:colOff>
      <xdr:row>21</xdr:row>
      <xdr:rowOff>0</xdr:rowOff>
    </xdr:from>
    <xdr:to>
      <xdr:col>25</xdr:col>
      <xdr:colOff>711200</xdr:colOff>
      <xdr:row>35</xdr:row>
      <xdr:rowOff>63500</xdr:rowOff>
    </xdr:to>
    <xdr:graphicFrame macro="">
      <xdr:nvGraphicFramePr>
        <xdr:cNvPr id="13" name="Chart 12" title="Commercial Harvest 1997-2011 (thousands of fis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26</xdr:col>
      <xdr:colOff>190500</xdr:colOff>
      <xdr:row>21</xdr:row>
      <xdr:rowOff>0</xdr:rowOff>
    </xdr:from>
    <xdr:to>
      <xdr:col>30</xdr:col>
      <xdr:colOff>508000</xdr:colOff>
      <xdr:row>35</xdr:row>
      <xdr:rowOff>63500</xdr:rowOff>
    </xdr:to>
    <xdr:graphicFrame macro="">
      <xdr:nvGraphicFramePr>
        <xdr:cNvPr id="14" name="Chart 13" title="Commercial Harvest 1997-2011 (thousands of fis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634999</xdr:colOff>
      <xdr:row>21</xdr:row>
      <xdr:rowOff>25400</xdr:rowOff>
    </xdr:from>
    <xdr:to>
      <xdr:col>6</xdr:col>
      <xdr:colOff>495300</xdr:colOff>
      <xdr:row>34</xdr:row>
      <xdr:rowOff>165100</xdr:rowOff>
    </xdr:to>
    <xdr:graphicFrame macro="">
      <xdr:nvGraphicFramePr>
        <xdr:cNvPr id="2" name="Chart 1" title="Commercial Harvest 1997-2011 (thousands of fis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25400</xdr:colOff>
      <xdr:row>21</xdr:row>
      <xdr:rowOff>12700</xdr:rowOff>
    </xdr:from>
    <xdr:to>
      <xdr:col>12</xdr:col>
      <xdr:colOff>469900</xdr:colOff>
      <xdr:row>35</xdr:row>
      <xdr:rowOff>12700</xdr:rowOff>
    </xdr:to>
    <xdr:graphicFrame macro="">
      <xdr:nvGraphicFramePr>
        <xdr:cNvPr id="7" name="Chart 6" title="Commercial Harvest 1997-2011 (thousands of fis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21</xdr:row>
      <xdr:rowOff>0</xdr:rowOff>
    </xdr:from>
    <xdr:to>
      <xdr:col>17</xdr:col>
      <xdr:colOff>635000</xdr:colOff>
      <xdr:row>35</xdr:row>
      <xdr:rowOff>0</xdr:rowOff>
    </xdr:to>
    <xdr:graphicFrame macro="">
      <xdr:nvGraphicFramePr>
        <xdr:cNvPr id="8" name="Chart 7" title="Commercial Harvest 1997-2011 (thousands of fis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21</xdr:row>
      <xdr:rowOff>0</xdr:rowOff>
    </xdr:from>
    <xdr:to>
      <xdr:col>22</xdr:col>
      <xdr:colOff>698500</xdr:colOff>
      <xdr:row>35</xdr:row>
      <xdr:rowOff>0</xdr:rowOff>
    </xdr:to>
    <xdr:graphicFrame macro="">
      <xdr:nvGraphicFramePr>
        <xdr:cNvPr id="9" name="Chart 8" title="Commercial Harvest 1997-2011 (thousands of fis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0</xdr:colOff>
      <xdr:row>21</xdr:row>
      <xdr:rowOff>0</xdr:rowOff>
    </xdr:from>
    <xdr:to>
      <xdr:col>28</xdr:col>
      <xdr:colOff>1</xdr:colOff>
      <xdr:row>34</xdr:row>
      <xdr:rowOff>139700</xdr:rowOff>
    </xdr:to>
    <xdr:graphicFrame macro="">
      <xdr:nvGraphicFramePr>
        <xdr:cNvPr id="10" name="Chart 9" title="Commercial Harvest 1997-2011 (thousands of fis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29</xdr:col>
      <xdr:colOff>304800</xdr:colOff>
      <xdr:row>21</xdr:row>
      <xdr:rowOff>0</xdr:rowOff>
    </xdr:from>
    <xdr:to>
      <xdr:col>34</xdr:col>
      <xdr:colOff>355600</xdr:colOff>
      <xdr:row>34</xdr:row>
      <xdr:rowOff>139700</xdr:rowOff>
    </xdr:to>
    <xdr:graphicFrame macro="">
      <xdr:nvGraphicFramePr>
        <xdr:cNvPr id="11" name="Chart 10" title="Commercial Harvest 1997-2011 (thousands of fis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46" Type="http://schemas.openxmlformats.org/officeDocument/2006/relationships/comments" Target="../comments1.xml"/><Relationship Id="rId20" Type="http://schemas.openxmlformats.org/officeDocument/2006/relationships/hyperlink" Target="http://www.fishsource.com/site/goto_profile_by_uuid/f2afbd32-fafe-11e0-a323-40406781a598" TargetMode="External"/><Relationship Id="rId21" Type="http://schemas.openxmlformats.org/officeDocument/2006/relationships/hyperlink" Target="http://www.fishsource.com/site/goto_profile_by_uuid/3ca92da8-bb28-11e1-b93f-40406781a598" TargetMode="External"/><Relationship Id="rId22" Type="http://schemas.openxmlformats.org/officeDocument/2006/relationships/hyperlink" Target="http://www.fishsource.com/site/goto_profile_by_uuid/761229da-e21b-11dd-b2a0-daf105bfb8c2" TargetMode="External"/><Relationship Id="rId23" Type="http://schemas.openxmlformats.org/officeDocument/2006/relationships/hyperlink" Target="http://www.fishsource.com/site/goto_profile_by_uuid/052845a4-aca0-11e0-b0cb-40406781a598" TargetMode="External"/><Relationship Id="rId24" Type="http://schemas.openxmlformats.org/officeDocument/2006/relationships/hyperlink" Target="http://www.fishsource.com/site/goto_profile_by_uuid/40b6b29e-e0ae-11e0-b7e0-40406781a598" TargetMode="External"/><Relationship Id="rId25" Type="http://schemas.openxmlformats.org/officeDocument/2006/relationships/hyperlink" Target="http://www.fishsource.com/site/goto_profile_by_uuid/18500db6-e0b6-11e0-b5b6-40406781a598" TargetMode="External"/><Relationship Id="rId26" Type="http://schemas.openxmlformats.org/officeDocument/2006/relationships/hyperlink" Target="http://www.fishsource.com/site/goto_profile_by_uuid/f4359a9c-e0b8-11e0-9341-40406781a598" TargetMode="External"/><Relationship Id="rId27" Type="http://schemas.openxmlformats.org/officeDocument/2006/relationships/hyperlink" Target="http://www.fishsource.com/site/goto_profile_by_uuid/975cfdca-e0b7-11e0-9383-40406781a598" TargetMode="External"/><Relationship Id="rId28" Type="http://schemas.openxmlformats.org/officeDocument/2006/relationships/hyperlink" Target="http://www.fishsource.com/site/goto_profile_by_uuid/3bd4d1a6-e0b4-11e0-878c-40406781a598" TargetMode="External"/><Relationship Id="rId29" Type="http://schemas.openxmlformats.org/officeDocument/2006/relationships/hyperlink" Target="http://www.fishsource.com/site/goto_profile_by_uuid/c49a848a-c33c-11e0-9493-40406781a598" TargetMode="External"/><Relationship Id="rId1" Type="http://schemas.openxmlformats.org/officeDocument/2006/relationships/hyperlink" Target="http://www.fishsource.com/site/goto_profile_by_uuid/95c1b936-5430-11dd-9a7b-daf105bfb8c2" TargetMode="External"/><Relationship Id="rId2" Type="http://schemas.openxmlformats.org/officeDocument/2006/relationships/hyperlink" Target="http://www.fishsource.com/site/goto_profile_by_uuid/652b3800-2a2f-11e1-bc02-40406781a598" TargetMode="External"/><Relationship Id="rId3" Type="http://schemas.openxmlformats.org/officeDocument/2006/relationships/hyperlink" Target="http://www.fishsource.com/site/goto_profile_by_uuid/bfecff86-2a3d-11e1-8b3b-40406781a598" TargetMode="External"/><Relationship Id="rId4" Type="http://schemas.openxmlformats.org/officeDocument/2006/relationships/hyperlink" Target="http://www.fishsource.com/site/goto_profile_by_uuid/f798006e-2a3f-11e1-b576-40406781a598" TargetMode="External"/><Relationship Id="rId5" Type="http://schemas.openxmlformats.org/officeDocument/2006/relationships/hyperlink" Target="http://www.fishsource.com/site/goto_profile_by_uuid/4072ab4a-22bb-11e1-ae3c-40406781a598" TargetMode="External"/><Relationship Id="rId30" Type="http://schemas.openxmlformats.org/officeDocument/2006/relationships/hyperlink" Target="http://www.fishsource.com/site/goto_profile_by_uuid/fc0f8758-d3f4-11e0-85c7-40406781a598" TargetMode="External"/><Relationship Id="rId31" Type="http://schemas.openxmlformats.org/officeDocument/2006/relationships/hyperlink" Target="http://www.fishsource.com/site/goto_profile_by_uuid/6f041fe6-d4b1-11e0-bb49-40406781a598" TargetMode="External"/><Relationship Id="rId32" Type="http://schemas.openxmlformats.org/officeDocument/2006/relationships/hyperlink" Target="http://www.fishsource.com/site/goto_profile_by_uuid/0a06a380-d25d-11e0-bb24-40406781a598" TargetMode="External"/><Relationship Id="rId9" Type="http://schemas.openxmlformats.org/officeDocument/2006/relationships/hyperlink" Target="http://www.fishsource.com/site/goto_profile_by_uuid/63f8143a-2687-11dd-a4e9-daf105bfb8c2" TargetMode="External"/><Relationship Id="rId6" Type="http://schemas.openxmlformats.org/officeDocument/2006/relationships/hyperlink" Target="http://www.fishsource.com/site/goto_profile_by_uuid/f379ce9c-4073-11e0-9d8b-40406781a598" TargetMode="External"/><Relationship Id="rId7" Type="http://schemas.openxmlformats.org/officeDocument/2006/relationships/hyperlink" Target="http://www.fishsource.com/site/goto_profile_by_uuid/1f23329c-322f-11e1-87f9-40406781a598" TargetMode="External"/><Relationship Id="rId8" Type="http://schemas.openxmlformats.org/officeDocument/2006/relationships/hyperlink" Target="http://www.fishsource.com/site/goto_profile_by_uuid/aea32982-a408-11e0-9412-40406781a598" TargetMode="External"/><Relationship Id="rId33" Type="http://schemas.openxmlformats.org/officeDocument/2006/relationships/hyperlink" Target="http://www.fishsource.com/site/goto_profile_by_uuid/6c424480-d4b2-11e0-820c-40406781a598" TargetMode="External"/><Relationship Id="rId34" Type="http://schemas.openxmlformats.org/officeDocument/2006/relationships/hyperlink" Target="http://www.fishsource.com/site/goto_profile_by_uuid/7f3128e0-37c2-11e1-a2fb-40406781a598" TargetMode="External"/><Relationship Id="rId35" Type="http://schemas.openxmlformats.org/officeDocument/2006/relationships/hyperlink" Target="http://www.fishsource.com/site/goto_profile_by_uuid/d4047426-d4b2-11e0-8a2c-40406781a598" TargetMode="External"/><Relationship Id="rId36" Type="http://schemas.openxmlformats.org/officeDocument/2006/relationships/hyperlink" Target="http://www.fishsource.com/site/goto_profile_by_uuid/c5638cd6-e21b-11dd-b2a0-daf105bfb8c2" TargetMode="External"/><Relationship Id="rId10" Type="http://schemas.openxmlformats.org/officeDocument/2006/relationships/hyperlink" Target="http://www.fishsource.com/site/goto_profile_by_uuid/180a90ce-4038-11e1-8dff-40406781a598" TargetMode="External"/><Relationship Id="rId11" Type="http://schemas.openxmlformats.org/officeDocument/2006/relationships/hyperlink" Target="http://www.fishsource.com/site/goto_profile_by_uuid/2a76f8d0-4153-11e1-8fcf-40406781a598" TargetMode="External"/><Relationship Id="rId12" Type="http://schemas.openxmlformats.org/officeDocument/2006/relationships/hyperlink" Target="http://www.fishsource.com/site/goto_profile_by_uuid/a9ace648-9d17-11e2-9d13-40406781a598" TargetMode="External"/><Relationship Id="rId13" Type="http://schemas.openxmlformats.org/officeDocument/2006/relationships/hyperlink" Target="http://www.fishsource.com/site/goto_profile_by_uuid/d5b599a6-4039-11e1-9d32-40406781a598" TargetMode="External"/><Relationship Id="rId14" Type="http://schemas.openxmlformats.org/officeDocument/2006/relationships/hyperlink" Target="http://www.fishsource.com/site/goto_profile_by_uuid/bc714e22-31e8-11e1-a6e7-40406781a598" TargetMode="External"/><Relationship Id="rId15" Type="http://schemas.openxmlformats.org/officeDocument/2006/relationships/hyperlink" Target="http://www.fishsource.com/site/goto_profile_by_uuid/3d73f524-31e9-11e1-a5fd-40406781a598" TargetMode="External"/><Relationship Id="rId16" Type="http://schemas.openxmlformats.org/officeDocument/2006/relationships/hyperlink" Target="http://www.fishsource.com/site/goto_profile_by_uuid/6471a5b4-4ec0-11dd-a89d-daf105bfb8c2" TargetMode="External"/><Relationship Id="rId17" Type="http://schemas.openxmlformats.org/officeDocument/2006/relationships/hyperlink" Target="http://www.fishsource.com/site/goto_profile_by_uuid/6579dd72-a51b-11e1-900b-40406781a598" TargetMode="External"/><Relationship Id="rId18" Type="http://schemas.openxmlformats.org/officeDocument/2006/relationships/hyperlink" Target="http://www.fishsource.com/site/goto_profile_by_uuid/73b8e948-6784-11e1-886c-40406781a598" TargetMode="External"/><Relationship Id="rId19" Type="http://schemas.openxmlformats.org/officeDocument/2006/relationships/hyperlink" Target="http://www.fishsource.com/site/goto_profile_by_uuid/17629928-eea8-11e0-ab31-40406781a598" TargetMode="External"/><Relationship Id="rId37" Type="http://schemas.openxmlformats.org/officeDocument/2006/relationships/hyperlink" Target="http://www.fishsource.com/site/goto_profile_by_uuid/7b251cd6-fb02-11e0-9753-40406781a598" TargetMode="External"/><Relationship Id="rId38" Type="http://schemas.openxmlformats.org/officeDocument/2006/relationships/hyperlink" Target="http://www.fishsource.com/site/goto_profile_by_uuid/a8e281aa-fb06-11e0-a888-40406781a598" TargetMode="External"/><Relationship Id="rId39" Type="http://schemas.openxmlformats.org/officeDocument/2006/relationships/hyperlink" Target="http://www.fishsource.com/site/goto_profile_by_uuid/a7616d3e-eea7-11e0-b9de-40406781a598" TargetMode="External"/><Relationship Id="rId40" Type="http://schemas.openxmlformats.org/officeDocument/2006/relationships/hyperlink" Target="http://www.fishsource.com/site/goto_profile_by_uuid/7bd95000-1a6d-11e0-8053-40406781a598" TargetMode="External"/><Relationship Id="rId41" Type="http://schemas.openxmlformats.org/officeDocument/2006/relationships/hyperlink" Target="http://www.fishsource.com/site/goto_profile_by_uuid/6a7235a2-4ed7-11dd-a89d-daf105bfb8c2" TargetMode="External"/><Relationship Id="rId42" Type="http://schemas.openxmlformats.org/officeDocument/2006/relationships/hyperlink" Target="http://www.fishsource.com/site/goto_profile_by_uuid/99407ba8-4763-11dd-a7b0-daf105bfb8c2" TargetMode="External"/><Relationship Id="rId43" Type="http://schemas.openxmlformats.org/officeDocument/2006/relationships/hyperlink" Target="http://www.fishsource.com/site/goto_profile_by_uuid/075e196a-eeaa-11e0-9d8e-40406781a598" TargetMode="External"/><Relationship Id="rId44" Type="http://schemas.openxmlformats.org/officeDocument/2006/relationships/hyperlink" Target="http://www.fishsource.com/fishery/data_summary?fishery=Sockeye+salmon+-+East+Pacific%3A+Southeast+Alaska+%28Country%3A+US%3B+Gear%3A+GNS%2C+GND%2C+PS%3B+MSC-Client%3A+ASPA%3B+MSC-Status%3A+MSC+Recertified%3B%29" TargetMode="External"/><Relationship Id="rId45"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hyperlink" Target="http://www.npafc.org/new/pub_statistics.html" TargetMode="External"/><Relationship Id="rId2" Type="http://schemas.openxmlformats.org/officeDocument/2006/relationships/hyperlink" Target="http://www.npafc.org/new/pub_statistics.html" TargetMode="External"/><Relationship Id="rId3"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8"/>
  <sheetViews>
    <sheetView tabSelected="1" zoomScale="50" zoomScaleNormal="50" zoomScalePageLayoutView="50" workbookViewId="0">
      <pane ySplit="5" topLeftCell="A6" activePane="bottomLeft" state="frozen"/>
      <selection pane="bottomLeft"/>
    </sheetView>
  </sheetViews>
  <sheetFormatPr baseColWidth="10" defaultRowHeight="15" x14ac:dyDescent="0"/>
  <cols>
    <col min="1" max="1" width="4.1640625" bestFit="1" customWidth="1"/>
    <col min="2" max="2" width="68.5" style="16" bestFit="1" customWidth="1"/>
    <col min="3" max="3" width="15.1640625" style="14" hidden="1" customWidth="1"/>
    <col min="4" max="4" width="15" style="1" customWidth="1"/>
    <col min="5" max="5" width="14.5" hidden="1" customWidth="1"/>
    <col min="6" max="6" width="12.5" hidden="1" customWidth="1"/>
    <col min="7" max="7" width="15.83203125" hidden="1" customWidth="1"/>
    <col min="8" max="8" width="17.33203125" style="24" hidden="1" customWidth="1"/>
    <col min="9" max="9" width="16.33203125" style="1" customWidth="1"/>
    <col min="10" max="10" width="11.1640625" style="1" customWidth="1"/>
    <col min="11" max="11" width="8.1640625" hidden="1" customWidth="1"/>
    <col min="12" max="12" width="10.83203125" hidden="1" customWidth="1"/>
    <col min="13" max="13" width="15.33203125" hidden="1" customWidth="1"/>
    <col min="14" max="14" width="13.5" hidden="1" customWidth="1"/>
    <col min="15" max="15" width="10.83203125" style="1"/>
    <col min="16" max="16" width="12.5" hidden="1" customWidth="1"/>
    <col min="17" max="17" width="10.83203125" hidden="1" customWidth="1"/>
    <col min="18" max="18" width="10.83203125" style="1"/>
    <col min="19" max="19" width="10.83203125" style="24" hidden="1" customWidth="1"/>
    <col min="20" max="20" width="12.6640625" hidden="1" customWidth="1"/>
    <col min="21" max="21" width="10.83203125" hidden="1" customWidth="1"/>
    <col min="22" max="22" width="15.6640625" hidden="1" customWidth="1"/>
    <col min="23" max="23" width="13" hidden="1" customWidth="1"/>
    <col min="24" max="24" width="10.83203125" hidden="1" customWidth="1"/>
    <col min="25" max="26" width="10.83203125" style="24" customWidth="1"/>
    <col min="27" max="27" width="13.83203125" style="24" customWidth="1"/>
    <col min="28" max="28" width="12.1640625" style="24" customWidth="1"/>
    <col min="29" max="29" width="13.1640625" style="24" customWidth="1"/>
    <col min="30" max="30" width="12.83203125" style="24" customWidth="1"/>
    <col min="31" max="31" width="91.5" customWidth="1"/>
    <col min="32" max="32" width="59" customWidth="1"/>
  </cols>
  <sheetData>
    <row r="1" spans="1:32" ht="18">
      <c r="A1" s="350" t="s">
        <v>368</v>
      </c>
    </row>
    <row r="2" spans="1:32" ht="18">
      <c r="A2" s="350" t="s">
        <v>417</v>
      </c>
    </row>
    <row r="3" spans="1:32" ht="18">
      <c r="A3" s="350" t="s">
        <v>453</v>
      </c>
    </row>
    <row r="4" spans="1:32" ht="16" thickBot="1"/>
    <row r="5" spans="1:32" s="25" customFormat="1" ht="66" customHeight="1">
      <c r="A5" s="358" t="s">
        <v>12</v>
      </c>
      <c r="B5" s="352" t="s">
        <v>418</v>
      </c>
      <c r="C5" s="478" t="s">
        <v>482</v>
      </c>
      <c r="D5" s="352" t="s">
        <v>62</v>
      </c>
      <c r="E5" s="360" t="s">
        <v>69</v>
      </c>
      <c r="F5" s="361" t="s">
        <v>448</v>
      </c>
      <c r="G5" s="360" t="s">
        <v>63</v>
      </c>
      <c r="H5" s="362" t="s">
        <v>64</v>
      </c>
      <c r="I5" s="352" t="s">
        <v>191</v>
      </c>
      <c r="J5" s="352" t="s">
        <v>192</v>
      </c>
      <c r="K5" s="360" t="s">
        <v>65</v>
      </c>
      <c r="L5" s="360" t="s">
        <v>66</v>
      </c>
      <c r="M5" s="360" t="s">
        <v>67</v>
      </c>
      <c r="N5" s="361" t="s">
        <v>449</v>
      </c>
      <c r="O5" s="352" t="s">
        <v>70</v>
      </c>
      <c r="P5" s="360" t="s">
        <v>72</v>
      </c>
      <c r="Q5" s="360" t="s">
        <v>71</v>
      </c>
      <c r="R5" s="352" t="s">
        <v>73</v>
      </c>
      <c r="S5" s="407" t="s">
        <v>420</v>
      </c>
      <c r="T5" s="360" t="s">
        <v>421</v>
      </c>
      <c r="U5" s="363" t="s">
        <v>422</v>
      </c>
      <c r="V5" s="361" t="s">
        <v>450</v>
      </c>
      <c r="W5" s="363" t="s">
        <v>423</v>
      </c>
      <c r="X5" s="363" t="s">
        <v>424</v>
      </c>
      <c r="Y5" s="364" t="s">
        <v>123</v>
      </c>
      <c r="Z5" s="365" t="s">
        <v>124</v>
      </c>
      <c r="AA5" s="365" t="s">
        <v>261</v>
      </c>
      <c r="AB5" s="364" t="s">
        <v>127</v>
      </c>
      <c r="AC5" s="366" t="s">
        <v>195</v>
      </c>
      <c r="AD5" s="367" t="s">
        <v>196</v>
      </c>
      <c r="AE5" s="368" t="s">
        <v>76</v>
      </c>
      <c r="AF5" s="359" t="s">
        <v>77</v>
      </c>
    </row>
    <row r="6" spans="1:32" s="9" customFormat="1" ht="134" customHeight="1">
      <c r="A6" s="390" t="s">
        <v>419</v>
      </c>
      <c r="B6" s="90" t="s">
        <v>1</v>
      </c>
      <c r="C6" s="485" t="s">
        <v>483</v>
      </c>
      <c r="D6" s="356">
        <v>7</v>
      </c>
      <c r="E6" s="357">
        <v>8</v>
      </c>
      <c r="F6" s="356">
        <v>7</v>
      </c>
      <c r="G6" s="356">
        <v>7</v>
      </c>
      <c r="H6" s="357">
        <v>8</v>
      </c>
      <c r="I6" s="356">
        <v>6.5</v>
      </c>
      <c r="J6" s="356">
        <v>7</v>
      </c>
      <c r="K6" s="357">
        <v>8</v>
      </c>
      <c r="L6" s="356">
        <v>7</v>
      </c>
      <c r="M6" s="356">
        <v>7</v>
      </c>
      <c r="N6" s="357">
        <v>8</v>
      </c>
      <c r="O6" s="356">
        <v>6</v>
      </c>
      <c r="P6" s="356">
        <v>6</v>
      </c>
      <c r="Q6" s="356">
        <v>7</v>
      </c>
      <c r="R6" s="356">
        <v>6</v>
      </c>
      <c r="S6" s="396">
        <v>0.18</v>
      </c>
      <c r="T6" s="356">
        <v>7</v>
      </c>
      <c r="U6" s="94" t="s">
        <v>68</v>
      </c>
      <c r="V6" s="356">
        <v>6</v>
      </c>
      <c r="W6" s="94" t="s">
        <v>68</v>
      </c>
      <c r="X6" s="94" t="s">
        <v>68</v>
      </c>
      <c r="Y6" s="142" t="s">
        <v>129</v>
      </c>
      <c r="Z6" s="293">
        <f>(2.42+1.63)/2</f>
        <v>2.0249999999999999</v>
      </c>
      <c r="AA6" s="142" t="s">
        <v>252</v>
      </c>
      <c r="AB6" s="206" t="s">
        <v>130</v>
      </c>
      <c r="AC6" s="206" t="s">
        <v>18</v>
      </c>
      <c r="AD6" s="320" t="s">
        <v>257</v>
      </c>
      <c r="AE6" s="95" t="s">
        <v>79</v>
      </c>
      <c r="AF6" s="280" t="s">
        <v>80</v>
      </c>
    </row>
    <row r="7" spans="1:32" ht="85" customHeight="1">
      <c r="A7" s="6">
        <v>1</v>
      </c>
      <c r="B7" s="33" t="s">
        <v>14</v>
      </c>
      <c r="C7" s="115" t="s">
        <v>484</v>
      </c>
      <c r="D7" s="34">
        <v>8</v>
      </c>
      <c r="E7" s="34">
        <v>8</v>
      </c>
      <c r="F7" s="35" t="s">
        <v>68</v>
      </c>
      <c r="G7" s="34">
        <v>8</v>
      </c>
      <c r="H7" s="34">
        <v>10</v>
      </c>
      <c r="I7" s="36">
        <v>6.5</v>
      </c>
      <c r="J7" s="36">
        <v>7</v>
      </c>
      <c r="K7" s="34">
        <v>10</v>
      </c>
      <c r="L7" s="34">
        <v>9</v>
      </c>
      <c r="M7" s="36">
        <v>7</v>
      </c>
      <c r="N7" s="35" t="s">
        <v>68</v>
      </c>
      <c r="O7" s="36">
        <v>6</v>
      </c>
      <c r="P7" s="36">
        <v>6</v>
      </c>
      <c r="Q7" s="34">
        <v>8</v>
      </c>
      <c r="R7" s="34">
        <v>10</v>
      </c>
      <c r="S7" s="404">
        <v>0</v>
      </c>
      <c r="T7" s="35" t="s">
        <v>68</v>
      </c>
      <c r="U7" s="35" t="s">
        <v>68</v>
      </c>
      <c r="V7" s="35" t="s">
        <v>68</v>
      </c>
      <c r="W7" s="35" t="s">
        <v>68</v>
      </c>
      <c r="X7" s="35" t="s">
        <v>68</v>
      </c>
      <c r="Y7" s="48" t="s">
        <v>129</v>
      </c>
      <c r="Z7" s="48">
        <f>(0.06+0.02)/2</f>
        <v>0.04</v>
      </c>
      <c r="AA7" s="48" t="s">
        <v>252</v>
      </c>
      <c r="AB7" s="116" t="s">
        <v>133</v>
      </c>
      <c r="AC7" s="204" t="s">
        <v>18</v>
      </c>
      <c r="AD7" s="311" t="s">
        <v>253</v>
      </c>
      <c r="AE7" s="37" t="s">
        <v>75</v>
      </c>
      <c r="AF7" s="59" t="s">
        <v>68</v>
      </c>
    </row>
    <row r="8" spans="1:32" ht="95" customHeight="1">
      <c r="A8" s="6">
        <v>2</v>
      </c>
      <c r="B8" s="33" t="s">
        <v>15</v>
      </c>
      <c r="C8" s="115" t="s">
        <v>485</v>
      </c>
      <c r="D8" s="34">
        <v>10</v>
      </c>
      <c r="E8" s="34">
        <v>10</v>
      </c>
      <c r="F8" s="35" t="s">
        <v>68</v>
      </c>
      <c r="G8" s="34">
        <v>10</v>
      </c>
      <c r="H8" s="34">
        <v>10</v>
      </c>
      <c r="I8" s="34">
        <v>10</v>
      </c>
      <c r="J8" s="34">
        <v>8</v>
      </c>
      <c r="K8" s="34">
        <v>10</v>
      </c>
      <c r="L8" s="34">
        <v>9</v>
      </c>
      <c r="M8" s="34">
        <v>8</v>
      </c>
      <c r="N8" s="35" t="s">
        <v>68</v>
      </c>
      <c r="O8" s="36">
        <v>6</v>
      </c>
      <c r="P8" s="36">
        <v>6</v>
      </c>
      <c r="Q8" s="34">
        <v>10</v>
      </c>
      <c r="R8" s="34">
        <v>9</v>
      </c>
      <c r="S8" s="404">
        <v>0</v>
      </c>
      <c r="T8" s="35" t="s">
        <v>68</v>
      </c>
      <c r="U8" s="35" t="s">
        <v>68</v>
      </c>
      <c r="V8" s="35" t="s">
        <v>68</v>
      </c>
      <c r="W8" s="35" t="s">
        <v>68</v>
      </c>
      <c r="X8" s="35" t="s">
        <v>68</v>
      </c>
      <c r="Y8" s="48" t="s">
        <v>129</v>
      </c>
      <c r="Z8" s="285">
        <f>(0.02+0.03)/2</f>
        <v>2.5000000000000001E-2</v>
      </c>
      <c r="AA8" s="48" t="s">
        <v>252</v>
      </c>
      <c r="AB8" s="50" t="s">
        <v>137</v>
      </c>
      <c r="AC8" s="204" t="s">
        <v>18</v>
      </c>
      <c r="AD8" s="311" t="s">
        <v>253</v>
      </c>
      <c r="AE8" s="37" t="s">
        <v>78</v>
      </c>
      <c r="AF8" s="274" t="s">
        <v>68</v>
      </c>
    </row>
    <row r="9" spans="1:32" ht="74" customHeight="1">
      <c r="A9" s="6">
        <v>3</v>
      </c>
      <c r="B9" s="33" t="s">
        <v>16</v>
      </c>
      <c r="C9" s="115" t="s">
        <v>486</v>
      </c>
      <c r="D9" s="34">
        <v>8</v>
      </c>
      <c r="E9" s="34">
        <v>8</v>
      </c>
      <c r="F9" s="35" t="s">
        <v>68</v>
      </c>
      <c r="G9" s="34">
        <v>10</v>
      </c>
      <c r="H9" s="34">
        <v>10</v>
      </c>
      <c r="I9" s="36">
        <v>7</v>
      </c>
      <c r="J9" s="36">
        <v>7</v>
      </c>
      <c r="K9" s="34">
        <v>10</v>
      </c>
      <c r="L9" s="34">
        <v>9</v>
      </c>
      <c r="M9" s="36">
        <v>7</v>
      </c>
      <c r="N9" s="35" t="s">
        <v>68</v>
      </c>
      <c r="O9" s="36">
        <v>7</v>
      </c>
      <c r="P9" s="36">
        <v>7</v>
      </c>
      <c r="Q9" s="36">
        <v>7</v>
      </c>
      <c r="R9" s="34">
        <v>10</v>
      </c>
      <c r="S9" s="404">
        <v>0</v>
      </c>
      <c r="T9" s="35" t="s">
        <v>68</v>
      </c>
      <c r="U9" s="35" t="s">
        <v>68</v>
      </c>
      <c r="V9" s="35" t="s">
        <v>68</v>
      </c>
      <c r="W9" s="35" t="s">
        <v>68</v>
      </c>
      <c r="X9" s="35" t="s">
        <v>68</v>
      </c>
      <c r="Y9" s="48" t="s">
        <v>129</v>
      </c>
      <c r="Z9" s="48">
        <f>(0.11+0.07)/2</f>
        <v>0.09</v>
      </c>
      <c r="AA9" s="48" t="s">
        <v>252</v>
      </c>
      <c r="AB9" s="50" t="s">
        <v>136</v>
      </c>
      <c r="AC9" s="204" t="s">
        <v>18</v>
      </c>
      <c r="AD9" s="311" t="s">
        <v>253</v>
      </c>
      <c r="AE9" s="38" t="s">
        <v>74</v>
      </c>
      <c r="AF9" s="274" t="s">
        <v>68</v>
      </c>
    </row>
    <row r="10" spans="1:32" ht="89" customHeight="1" thickBot="1">
      <c r="A10" s="107">
        <v>4</v>
      </c>
      <c r="B10" s="73" t="s">
        <v>50</v>
      </c>
      <c r="C10" s="479" t="s">
        <v>487</v>
      </c>
      <c r="D10" s="74">
        <v>7</v>
      </c>
      <c r="E10" s="75">
        <v>8</v>
      </c>
      <c r="F10" s="74">
        <v>7</v>
      </c>
      <c r="G10" s="74">
        <v>7</v>
      </c>
      <c r="H10" s="75">
        <v>8</v>
      </c>
      <c r="I10" s="75">
        <v>10</v>
      </c>
      <c r="J10" s="75">
        <v>8</v>
      </c>
      <c r="K10" s="75">
        <v>8</v>
      </c>
      <c r="L10" s="75">
        <v>9</v>
      </c>
      <c r="M10" s="75">
        <v>10</v>
      </c>
      <c r="N10" s="108">
        <v>8</v>
      </c>
      <c r="O10" s="74">
        <v>7</v>
      </c>
      <c r="P10" s="74">
        <v>7</v>
      </c>
      <c r="Q10" s="75">
        <v>10</v>
      </c>
      <c r="R10" s="74">
        <v>6</v>
      </c>
      <c r="S10" s="397">
        <v>0.3</v>
      </c>
      <c r="T10" s="74">
        <v>7</v>
      </c>
      <c r="U10" s="55" t="s">
        <v>68</v>
      </c>
      <c r="V10" s="74">
        <v>6</v>
      </c>
      <c r="W10" s="55" t="s">
        <v>68</v>
      </c>
      <c r="X10" s="55" t="s">
        <v>68</v>
      </c>
      <c r="Y10" s="139" t="s">
        <v>129</v>
      </c>
      <c r="Z10" s="286">
        <f>(1.43+0.88)/2</f>
        <v>1.155</v>
      </c>
      <c r="AA10" s="139" t="s">
        <v>252</v>
      </c>
      <c r="AB10" s="121" t="s">
        <v>130</v>
      </c>
      <c r="AC10" s="314" t="s">
        <v>18</v>
      </c>
      <c r="AD10" s="313" t="s">
        <v>257</v>
      </c>
      <c r="AE10" s="57" t="s">
        <v>447</v>
      </c>
      <c r="AF10" s="275" t="s">
        <v>56</v>
      </c>
    </row>
    <row r="11" spans="1:32" s="1" customFormat="1" ht="87" customHeight="1">
      <c r="A11" s="391" t="s">
        <v>419</v>
      </c>
      <c r="B11" s="28" t="s">
        <v>48</v>
      </c>
      <c r="C11" s="149" t="s">
        <v>488</v>
      </c>
      <c r="D11" s="69" t="s">
        <v>59</v>
      </c>
      <c r="E11" s="29">
        <v>7</v>
      </c>
      <c r="F11" s="29">
        <v>7</v>
      </c>
      <c r="G11" s="69" t="s">
        <v>59</v>
      </c>
      <c r="H11" s="29">
        <v>7</v>
      </c>
      <c r="I11" s="30">
        <v>9</v>
      </c>
      <c r="J11" s="30">
        <v>8</v>
      </c>
      <c r="K11" s="30">
        <v>8</v>
      </c>
      <c r="L11" s="30">
        <v>9</v>
      </c>
      <c r="M11" s="30">
        <v>9</v>
      </c>
      <c r="N11" s="30">
        <v>8</v>
      </c>
      <c r="O11" s="29">
        <v>7</v>
      </c>
      <c r="P11" s="29">
        <v>7</v>
      </c>
      <c r="Q11" s="30">
        <v>10</v>
      </c>
      <c r="R11" s="29">
        <v>7</v>
      </c>
      <c r="S11" s="398">
        <v>0.33</v>
      </c>
      <c r="T11" s="29">
        <v>7</v>
      </c>
      <c r="U11" s="31" t="s">
        <v>68</v>
      </c>
      <c r="V11" s="30">
        <v>8</v>
      </c>
      <c r="W11" s="31" t="s">
        <v>68</v>
      </c>
      <c r="X11" s="31" t="s">
        <v>68</v>
      </c>
      <c r="Y11" s="98" t="s">
        <v>140</v>
      </c>
      <c r="Z11" s="98">
        <f>(0.44+0.94)/2</f>
        <v>0.69</v>
      </c>
      <c r="AA11" s="98" t="s">
        <v>252</v>
      </c>
      <c r="AB11" s="122" t="s">
        <v>130</v>
      </c>
      <c r="AC11" s="202" t="s">
        <v>18</v>
      </c>
      <c r="AD11" s="202" t="s">
        <v>55</v>
      </c>
      <c r="AE11" s="32" t="s">
        <v>83</v>
      </c>
      <c r="AF11" s="58" t="s">
        <v>84</v>
      </c>
    </row>
    <row r="12" spans="1:32" ht="69" customHeight="1">
      <c r="A12" s="6">
        <v>5</v>
      </c>
      <c r="B12" s="33" t="s">
        <v>49</v>
      </c>
      <c r="C12" s="115" t="s">
        <v>489</v>
      </c>
      <c r="D12" s="36">
        <v>7</v>
      </c>
      <c r="E12" s="36">
        <v>7</v>
      </c>
      <c r="F12" s="36">
        <v>7</v>
      </c>
      <c r="G12" s="34">
        <v>10</v>
      </c>
      <c r="H12" s="34">
        <v>8</v>
      </c>
      <c r="I12" s="34">
        <v>9</v>
      </c>
      <c r="J12" s="34">
        <v>8</v>
      </c>
      <c r="K12" s="34">
        <v>8</v>
      </c>
      <c r="L12" s="34">
        <v>9</v>
      </c>
      <c r="M12" s="34">
        <v>9</v>
      </c>
      <c r="N12" s="34">
        <v>8</v>
      </c>
      <c r="O12" s="36">
        <v>7</v>
      </c>
      <c r="P12" s="36">
        <v>7</v>
      </c>
      <c r="Q12" s="34">
        <v>10</v>
      </c>
      <c r="R12" s="34">
        <v>9</v>
      </c>
      <c r="S12" s="404">
        <v>0.08</v>
      </c>
      <c r="T12" s="35" t="s">
        <v>68</v>
      </c>
      <c r="U12" s="35" t="s">
        <v>68</v>
      </c>
      <c r="V12" s="35" t="s">
        <v>68</v>
      </c>
      <c r="W12" s="35" t="s">
        <v>68</v>
      </c>
      <c r="X12" s="35" t="s">
        <v>68</v>
      </c>
      <c r="Y12" s="48" t="s">
        <v>129</v>
      </c>
      <c r="Z12" s="285">
        <f>(0.52+0.63)/2</f>
        <v>0.57499999999999996</v>
      </c>
      <c r="AA12" s="48" t="s">
        <v>252</v>
      </c>
      <c r="AB12" s="50" t="s">
        <v>130</v>
      </c>
      <c r="AC12" s="204" t="s">
        <v>18</v>
      </c>
      <c r="AD12" s="204" t="s">
        <v>55</v>
      </c>
      <c r="AE12" s="37" t="s">
        <v>85</v>
      </c>
      <c r="AF12" s="274" t="s">
        <v>68</v>
      </c>
    </row>
    <row r="13" spans="1:32" s="9" customFormat="1" ht="61" customHeight="1" thickBot="1">
      <c r="A13" s="72">
        <v>6</v>
      </c>
      <c r="B13" s="73" t="s">
        <v>17</v>
      </c>
      <c r="C13" s="479" t="s">
        <v>490</v>
      </c>
      <c r="D13" s="56" t="s">
        <v>59</v>
      </c>
      <c r="E13" s="74">
        <v>7</v>
      </c>
      <c r="F13" s="74">
        <v>7</v>
      </c>
      <c r="G13" s="56" t="s">
        <v>59</v>
      </c>
      <c r="H13" s="75">
        <v>8</v>
      </c>
      <c r="I13" s="75">
        <v>9</v>
      </c>
      <c r="J13" s="75">
        <v>8</v>
      </c>
      <c r="K13" s="75">
        <v>8</v>
      </c>
      <c r="L13" s="75">
        <v>9</v>
      </c>
      <c r="M13" s="75">
        <v>9</v>
      </c>
      <c r="N13" s="75">
        <v>8</v>
      </c>
      <c r="O13" s="74">
        <v>7</v>
      </c>
      <c r="P13" s="74">
        <v>7</v>
      </c>
      <c r="Q13" s="75">
        <v>10</v>
      </c>
      <c r="R13" s="74">
        <v>7</v>
      </c>
      <c r="S13" s="397">
        <v>0.5</v>
      </c>
      <c r="T13" s="74">
        <v>7</v>
      </c>
      <c r="U13" s="55" t="s">
        <v>68</v>
      </c>
      <c r="V13" s="75">
        <v>8</v>
      </c>
      <c r="W13" s="55" t="s">
        <v>68</v>
      </c>
      <c r="X13" s="55" t="s">
        <v>68</v>
      </c>
      <c r="Y13" s="139" t="s">
        <v>140</v>
      </c>
      <c r="Z13" s="286">
        <f>(0.76+0.37)/2</f>
        <v>0.56499999999999995</v>
      </c>
      <c r="AA13" s="139" t="s">
        <v>252</v>
      </c>
      <c r="AB13" s="123" t="s">
        <v>130</v>
      </c>
      <c r="AC13" s="314" t="s">
        <v>18</v>
      </c>
      <c r="AD13" s="314" t="s">
        <v>55</v>
      </c>
      <c r="AE13" s="76" t="s">
        <v>86</v>
      </c>
      <c r="AF13" s="276" t="s">
        <v>68</v>
      </c>
    </row>
    <row r="14" spans="1:32" s="9" customFormat="1" ht="61" customHeight="1" thickBot="1">
      <c r="A14" s="13">
        <v>7</v>
      </c>
      <c r="B14" s="77" t="s">
        <v>51</v>
      </c>
      <c r="C14" s="486" t="s">
        <v>491</v>
      </c>
      <c r="D14" s="78">
        <v>7</v>
      </c>
      <c r="E14" s="78">
        <v>7</v>
      </c>
      <c r="F14" s="78">
        <v>7</v>
      </c>
      <c r="G14" s="79">
        <v>8</v>
      </c>
      <c r="H14" s="78">
        <v>7</v>
      </c>
      <c r="I14" s="79">
        <v>8</v>
      </c>
      <c r="J14" s="79">
        <v>8</v>
      </c>
      <c r="K14" s="79">
        <v>10</v>
      </c>
      <c r="L14" s="79">
        <v>10</v>
      </c>
      <c r="M14" s="79">
        <v>8</v>
      </c>
      <c r="N14" s="79">
        <v>8</v>
      </c>
      <c r="O14" s="80" t="s">
        <v>59</v>
      </c>
      <c r="P14" s="80" t="s">
        <v>59</v>
      </c>
      <c r="Q14" s="80" t="s">
        <v>59</v>
      </c>
      <c r="R14" s="80" t="s">
        <v>59</v>
      </c>
      <c r="S14" s="400">
        <v>0.53</v>
      </c>
      <c r="T14" s="78">
        <v>7</v>
      </c>
      <c r="U14" s="81"/>
      <c r="V14" s="80" t="s">
        <v>59</v>
      </c>
      <c r="W14" s="81"/>
      <c r="X14" s="81"/>
      <c r="Y14" s="141" t="s">
        <v>140</v>
      </c>
      <c r="Z14" s="283">
        <f>(2.73+1.92)/2</f>
        <v>2.3250000000000002</v>
      </c>
      <c r="AA14" s="141" t="s">
        <v>252</v>
      </c>
      <c r="AB14" s="203" t="s">
        <v>130</v>
      </c>
      <c r="AC14" s="203" t="s">
        <v>18</v>
      </c>
      <c r="AD14" s="203" t="s">
        <v>55</v>
      </c>
      <c r="AE14" s="82" t="s">
        <v>81</v>
      </c>
      <c r="AF14" s="281" t="s">
        <v>249</v>
      </c>
    </row>
    <row r="15" spans="1:32" s="3" customFormat="1" ht="184" customHeight="1">
      <c r="A15" s="392" t="s">
        <v>419</v>
      </c>
      <c r="B15" s="28" t="s">
        <v>2</v>
      </c>
      <c r="C15" s="487" t="s">
        <v>492</v>
      </c>
      <c r="D15" s="30">
        <v>8</v>
      </c>
      <c r="E15" s="67">
        <v>8</v>
      </c>
      <c r="F15" s="31" t="s">
        <v>68</v>
      </c>
      <c r="G15" s="67">
        <v>8</v>
      </c>
      <c r="H15" s="67">
        <v>8</v>
      </c>
      <c r="I15" s="30">
        <v>8</v>
      </c>
      <c r="J15" s="29">
        <v>7</v>
      </c>
      <c r="K15" s="67">
        <v>10</v>
      </c>
      <c r="L15" s="67">
        <v>9</v>
      </c>
      <c r="M15" s="68">
        <v>7</v>
      </c>
      <c r="N15" s="31" t="s">
        <v>68</v>
      </c>
      <c r="O15" s="29">
        <v>6</v>
      </c>
      <c r="P15" s="68">
        <v>6</v>
      </c>
      <c r="Q15" s="68">
        <v>7</v>
      </c>
      <c r="R15" s="69" t="s">
        <v>59</v>
      </c>
      <c r="S15" s="398">
        <v>0.56999999999999995</v>
      </c>
      <c r="T15" s="69" t="s">
        <v>59</v>
      </c>
      <c r="U15" s="69" t="s">
        <v>59</v>
      </c>
      <c r="V15" s="31" t="s">
        <v>68</v>
      </c>
      <c r="W15" s="67">
        <v>8</v>
      </c>
      <c r="X15" s="69" t="s">
        <v>59</v>
      </c>
      <c r="Y15" s="98" t="s">
        <v>140</v>
      </c>
      <c r="Z15" s="284">
        <f>(69.3+72.94)/2</f>
        <v>71.12</v>
      </c>
      <c r="AA15" s="98" t="s">
        <v>252</v>
      </c>
      <c r="AB15" s="200" t="s">
        <v>141</v>
      </c>
      <c r="AC15" s="202" t="s">
        <v>18</v>
      </c>
      <c r="AD15" s="312" t="s">
        <v>256</v>
      </c>
      <c r="AE15" s="32" t="s">
        <v>82</v>
      </c>
      <c r="AF15" s="58" t="s">
        <v>80</v>
      </c>
    </row>
    <row r="16" spans="1:32" s="2" customFormat="1" ht="157" customHeight="1">
      <c r="A16" s="6">
        <v>8</v>
      </c>
      <c r="B16" s="33" t="s">
        <v>52</v>
      </c>
      <c r="C16" s="115" t="s">
        <v>493</v>
      </c>
      <c r="D16" s="45">
        <v>8</v>
      </c>
      <c r="E16" s="45">
        <v>8</v>
      </c>
      <c r="F16" s="35" t="s">
        <v>68</v>
      </c>
      <c r="G16" s="45">
        <v>8</v>
      </c>
      <c r="H16" s="45">
        <v>8</v>
      </c>
      <c r="I16" s="45">
        <v>8.5</v>
      </c>
      <c r="J16" s="45">
        <v>8</v>
      </c>
      <c r="K16" s="45">
        <v>10</v>
      </c>
      <c r="L16" s="45">
        <v>9</v>
      </c>
      <c r="M16" s="45">
        <v>8</v>
      </c>
      <c r="N16" s="35" t="s">
        <v>68</v>
      </c>
      <c r="O16" s="45">
        <v>8.5</v>
      </c>
      <c r="P16" s="45">
        <v>8.5</v>
      </c>
      <c r="Q16" s="45">
        <v>10</v>
      </c>
      <c r="R16" s="45">
        <v>10</v>
      </c>
      <c r="S16" s="404">
        <v>0</v>
      </c>
      <c r="T16" s="35" t="s">
        <v>68</v>
      </c>
      <c r="U16" s="35" t="s">
        <v>68</v>
      </c>
      <c r="V16" s="35" t="s">
        <v>68</v>
      </c>
      <c r="W16" s="35" t="s">
        <v>68</v>
      </c>
      <c r="X16" s="35" t="s">
        <v>68</v>
      </c>
      <c r="Y16" s="48" t="s">
        <v>135</v>
      </c>
      <c r="Z16" s="285">
        <f>(4.05+3.67)/2</f>
        <v>3.86</v>
      </c>
      <c r="AA16" s="48" t="s">
        <v>252</v>
      </c>
      <c r="AB16" s="127" t="s">
        <v>141</v>
      </c>
      <c r="AC16" s="204" t="s">
        <v>18</v>
      </c>
      <c r="AD16" s="311" t="s">
        <v>253</v>
      </c>
      <c r="AE16" s="38" t="s">
        <v>87</v>
      </c>
      <c r="AF16" s="274" t="s">
        <v>68</v>
      </c>
    </row>
    <row r="17" spans="1:32" s="2" customFormat="1" ht="82" customHeight="1">
      <c r="A17" s="6">
        <v>9</v>
      </c>
      <c r="B17" s="33" t="s">
        <v>21</v>
      </c>
      <c r="C17" s="115" t="s">
        <v>494</v>
      </c>
      <c r="D17" s="46">
        <v>8</v>
      </c>
      <c r="E17" s="45">
        <v>8</v>
      </c>
      <c r="F17" s="35" t="s">
        <v>68</v>
      </c>
      <c r="G17" s="45">
        <v>8</v>
      </c>
      <c r="H17" s="45">
        <v>10</v>
      </c>
      <c r="I17" s="45">
        <v>8</v>
      </c>
      <c r="J17" s="45">
        <v>8</v>
      </c>
      <c r="K17" s="45">
        <v>10</v>
      </c>
      <c r="L17" s="45">
        <v>9</v>
      </c>
      <c r="M17" s="45">
        <v>8</v>
      </c>
      <c r="N17" s="35" t="s">
        <v>68</v>
      </c>
      <c r="O17" s="47">
        <v>7</v>
      </c>
      <c r="P17" s="47">
        <v>7</v>
      </c>
      <c r="Q17" s="45">
        <v>8</v>
      </c>
      <c r="R17" s="47">
        <v>6</v>
      </c>
      <c r="S17" s="399">
        <v>0.19</v>
      </c>
      <c r="T17" s="47">
        <v>6</v>
      </c>
      <c r="U17" s="47">
        <v>6</v>
      </c>
      <c r="V17" s="35" t="s">
        <v>68</v>
      </c>
      <c r="W17" s="45">
        <v>8</v>
      </c>
      <c r="X17" s="47">
        <v>7</v>
      </c>
      <c r="Y17" s="48" t="s">
        <v>129</v>
      </c>
      <c r="Z17" s="285">
        <f>(3.1+2.82)/2</f>
        <v>2.96</v>
      </c>
      <c r="AA17" s="48" t="s">
        <v>252</v>
      </c>
      <c r="AB17" s="204" t="s">
        <v>146</v>
      </c>
      <c r="AC17" s="204" t="s">
        <v>18</v>
      </c>
      <c r="AD17" s="311" t="s">
        <v>257</v>
      </c>
      <c r="AE17" s="38" t="s">
        <v>88</v>
      </c>
      <c r="AF17" s="274" t="s">
        <v>68</v>
      </c>
    </row>
    <row r="18" spans="1:32" s="4" customFormat="1" ht="100" customHeight="1">
      <c r="A18" s="6">
        <v>10</v>
      </c>
      <c r="B18" s="33" t="s">
        <v>19</v>
      </c>
      <c r="C18" s="480" t="s">
        <v>495</v>
      </c>
      <c r="D18" s="46">
        <v>10</v>
      </c>
      <c r="E18" s="45">
        <v>10</v>
      </c>
      <c r="F18" s="35" t="s">
        <v>68</v>
      </c>
      <c r="G18" s="45">
        <v>10</v>
      </c>
      <c r="H18" s="45">
        <v>10</v>
      </c>
      <c r="I18" s="45">
        <v>10</v>
      </c>
      <c r="J18" s="45">
        <v>8</v>
      </c>
      <c r="K18" s="45">
        <v>10</v>
      </c>
      <c r="L18" s="45">
        <v>9</v>
      </c>
      <c r="M18" s="45">
        <v>8</v>
      </c>
      <c r="N18" s="35" t="s">
        <v>68</v>
      </c>
      <c r="O18" s="47">
        <v>7</v>
      </c>
      <c r="P18" s="47">
        <v>7</v>
      </c>
      <c r="Q18" s="47">
        <v>7</v>
      </c>
      <c r="R18" s="42" t="s">
        <v>59</v>
      </c>
      <c r="S18" s="399">
        <v>0.88</v>
      </c>
      <c r="T18" s="42" t="s">
        <v>59</v>
      </c>
      <c r="U18" s="42" t="s">
        <v>59</v>
      </c>
      <c r="V18" s="35" t="s">
        <v>68</v>
      </c>
      <c r="W18" s="45">
        <v>8</v>
      </c>
      <c r="X18" s="42" t="s">
        <v>59</v>
      </c>
      <c r="Y18" s="48" t="s">
        <v>140</v>
      </c>
      <c r="Z18" s="285">
        <f>(13.33+11.33)/2</f>
        <v>12.33</v>
      </c>
      <c r="AA18" s="48" t="s">
        <v>252</v>
      </c>
      <c r="AB18" s="127" t="s">
        <v>141</v>
      </c>
      <c r="AC18" s="204" t="s">
        <v>18</v>
      </c>
      <c r="AD18" s="204" t="s">
        <v>263</v>
      </c>
      <c r="AE18" s="38" t="s">
        <v>89</v>
      </c>
      <c r="AF18" s="274" t="s">
        <v>68</v>
      </c>
    </row>
    <row r="19" spans="1:32" s="2" customFormat="1" ht="102" customHeight="1" thickBot="1">
      <c r="A19" s="8">
        <v>11</v>
      </c>
      <c r="B19" s="54" t="s">
        <v>20</v>
      </c>
      <c r="C19" s="488" t="s">
        <v>496</v>
      </c>
      <c r="D19" s="70">
        <v>8</v>
      </c>
      <c r="E19" s="61">
        <v>8</v>
      </c>
      <c r="F19" s="62" t="s">
        <v>68</v>
      </c>
      <c r="G19" s="61">
        <v>8</v>
      </c>
      <c r="H19" s="61">
        <v>10</v>
      </c>
      <c r="I19" s="61">
        <v>10</v>
      </c>
      <c r="J19" s="63">
        <v>7</v>
      </c>
      <c r="K19" s="61">
        <v>10</v>
      </c>
      <c r="L19" s="61">
        <v>9</v>
      </c>
      <c r="M19" s="63">
        <v>7</v>
      </c>
      <c r="N19" s="62" t="s">
        <v>68</v>
      </c>
      <c r="O19" s="63">
        <v>6</v>
      </c>
      <c r="P19" s="63">
        <v>6</v>
      </c>
      <c r="Q19" s="63">
        <v>7</v>
      </c>
      <c r="R19" s="63">
        <v>6</v>
      </c>
      <c r="S19" s="401">
        <v>0.82</v>
      </c>
      <c r="T19" s="63">
        <v>6</v>
      </c>
      <c r="U19" s="63">
        <v>6</v>
      </c>
      <c r="V19" s="65" t="s">
        <v>68</v>
      </c>
      <c r="W19" s="61">
        <v>8</v>
      </c>
      <c r="X19" s="63">
        <v>7</v>
      </c>
      <c r="Y19" s="65" t="s">
        <v>129</v>
      </c>
      <c r="Z19" s="290">
        <f>(44.8+37.9)/2</f>
        <v>41.349999999999994</v>
      </c>
      <c r="AA19" s="65" t="s">
        <v>252</v>
      </c>
      <c r="AB19" s="129" t="s">
        <v>146</v>
      </c>
      <c r="AC19" s="205" t="s">
        <v>18</v>
      </c>
      <c r="AD19" s="318" t="s">
        <v>262</v>
      </c>
      <c r="AE19" s="71" t="s">
        <v>90</v>
      </c>
      <c r="AF19" s="277" t="s">
        <v>68</v>
      </c>
    </row>
    <row r="20" spans="1:32" s="1" customFormat="1" ht="71" customHeight="1" thickBot="1">
      <c r="A20" s="393" t="s">
        <v>419</v>
      </c>
      <c r="B20" s="84" t="s">
        <v>3</v>
      </c>
      <c r="C20" s="481" t="s">
        <v>499</v>
      </c>
      <c r="D20" s="192"/>
      <c r="E20" s="85"/>
      <c r="F20" s="85"/>
      <c r="G20" s="85"/>
      <c r="H20" s="86"/>
      <c r="I20" s="193"/>
      <c r="J20" s="191"/>
      <c r="K20" s="85"/>
      <c r="L20" s="85"/>
      <c r="M20" s="85"/>
      <c r="N20" s="85"/>
      <c r="O20" s="193"/>
      <c r="P20" s="85"/>
      <c r="Q20" s="85"/>
      <c r="R20" s="193"/>
      <c r="S20" s="402">
        <v>0.2</v>
      </c>
      <c r="T20" s="85"/>
      <c r="U20" s="85"/>
      <c r="V20" s="86"/>
      <c r="W20" s="85"/>
      <c r="X20" s="85"/>
      <c r="Y20" s="141" t="s">
        <v>129</v>
      </c>
      <c r="Z20" s="287">
        <f>(4.05+6.415)/2</f>
        <v>5.2324999999999999</v>
      </c>
      <c r="AA20" s="141" t="s">
        <v>252</v>
      </c>
      <c r="AB20" s="203" t="s">
        <v>146</v>
      </c>
      <c r="AC20" s="315" t="s">
        <v>18</v>
      </c>
      <c r="AD20" s="319" t="s">
        <v>267</v>
      </c>
      <c r="AE20" s="475" t="s">
        <v>471</v>
      </c>
      <c r="AF20" s="472" t="s">
        <v>472</v>
      </c>
    </row>
    <row r="21" spans="1:32" s="5" customFormat="1" ht="63" customHeight="1" thickBot="1">
      <c r="A21" s="392" t="s">
        <v>419</v>
      </c>
      <c r="B21" s="15" t="s">
        <v>4</v>
      </c>
      <c r="C21" s="482" t="s">
        <v>500</v>
      </c>
      <c r="D21" s="194"/>
      <c r="E21" s="87"/>
      <c r="F21" s="87"/>
      <c r="G21" s="87"/>
      <c r="H21" s="87"/>
      <c r="I21" s="195"/>
      <c r="J21" s="196"/>
      <c r="K21" s="87"/>
      <c r="L21" s="87"/>
      <c r="M21" s="87"/>
      <c r="N21" s="87"/>
      <c r="O21" s="195"/>
      <c r="P21" s="87"/>
      <c r="Q21" s="87"/>
      <c r="R21" s="195"/>
      <c r="S21" s="398">
        <v>1</v>
      </c>
      <c r="T21" s="87"/>
      <c r="U21" s="87"/>
      <c r="V21" s="87"/>
      <c r="W21" s="87"/>
      <c r="X21" s="87"/>
      <c r="Y21" s="98" t="s">
        <v>140</v>
      </c>
      <c r="Z21" s="284">
        <f>(155.84+122.47)/2</f>
        <v>139.155</v>
      </c>
      <c r="AA21" s="98" t="s">
        <v>252</v>
      </c>
      <c r="AB21" s="202" t="s">
        <v>152</v>
      </c>
      <c r="AC21" s="316" t="s">
        <v>18</v>
      </c>
      <c r="AD21" s="316" t="s">
        <v>268</v>
      </c>
      <c r="AE21" s="474" t="s">
        <v>473</v>
      </c>
      <c r="AF21" s="473" t="s">
        <v>474</v>
      </c>
    </row>
    <row r="22" spans="1:32" ht="68" customHeight="1" thickBot="1">
      <c r="A22" s="11">
        <v>12</v>
      </c>
      <c r="B22" s="88" t="s">
        <v>53</v>
      </c>
      <c r="C22" s="483" t="s">
        <v>501</v>
      </c>
      <c r="D22" s="197"/>
      <c r="E22" s="62"/>
      <c r="F22" s="62"/>
      <c r="G22" s="62"/>
      <c r="H22" s="65"/>
      <c r="I22" s="64"/>
      <c r="J22" s="61"/>
      <c r="K22" s="62"/>
      <c r="L22" s="62"/>
      <c r="M22" s="62"/>
      <c r="N22" s="62"/>
      <c r="O22" s="64"/>
      <c r="P22" s="62"/>
      <c r="Q22" s="62"/>
      <c r="R22" s="64" t="s">
        <v>59</v>
      </c>
      <c r="S22" s="401">
        <v>1</v>
      </c>
      <c r="T22" s="64" t="s">
        <v>59</v>
      </c>
      <c r="U22" s="64" t="s">
        <v>59</v>
      </c>
      <c r="V22" s="65" t="s">
        <v>68</v>
      </c>
      <c r="W22" s="408" t="s">
        <v>59</v>
      </c>
      <c r="X22" s="408" t="s">
        <v>59</v>
      </c>
      <c r="Y22" s="65" t="s">
        <v>140</v>
      </c>
      <c r="Z22" s="290">
        <v>10.75</v>
      </c>
      <c r="AA22" s="65" t="s">
        <v>251</v>
      </c>
      <c r="AB22" s="205" t="s">
        <v>152</v>
      </c>
      <c r="AC22" s="205" t="s">
        <v>18</v>
      </c>
      <c r="AD22" s="205" t="s">
        <v>263</v>
      </c>
      <c r="AE22" s="474" t="s">
        <v>473</v>
      </c>
      <c r="AF22" s="89" t="s">
        <v>68</v>
      </c>
    </row>
    <row r="23" spans="1:32" s="3" customFormat="1" ht="63" customHeight="1">
      <c r="A23" s="392" t="s">
        <v>419</v>
      </c>
      <c r="B23" s="15" t="s">
        <v>5</v>
      </c>
      <c r="C23" s="485" t="s">
        <v>502</v>
      </c>
      <c r="D23" s="198"/>
      <c r="E23" s="96"/>
      <c r="F23" s="96"/>
      <c r="G23" s="96"/>
      <c r="H23" s="87"/>
      <c r="I23" s="199"/>
      <c r="J23" s="195"/>
      <c r="K23" s="96"/>
      <c r="L23" s="96"/>
      <c r="M23" s="96"/>
      <c r="N23" s="96"/>
      <c r="O23" s="195"/>
      <c r="P23" s="96"/>
      <c r="Q23" s="96"/>
      <c r="R23" s="195"/>
      <c r="S23" s="199" t="s">
        <v>156</v>
      </c>
      <c r="T23" s="96"/>
      <c r="U23" s="96"/>
      <c r="V23" s="87"/>
      <c r="W23" s="96"/>
      <c r="X23" s="96"/>
      <c r="Y23" s="98" t="s">
        <v>140</v>
      </c>
      <c r="Z23" s="284">
        <f>(97.9+101.4)/2</f>
        <v>99.65</v>
      </c>
      <c r="AA23" s="98" t="s">
        <v>252</v>
      </c>
      <c r="AB23" s="202" t="s">
        <v>152</v>
      </c>
      <c r="AC23" s="316" t="s">
        <v>18</v>
      </c>
      <c r="AD23" s="312" t="s">
        <v>274</v>
      </c>
      <c r="AE23" s="32" t="s">
        <v>121</v>
      </c>
      <c r="AF23" s="477" t="s">
        <v>122</v>
      </c>
    </row>
    <row r="24" spans="1:32" ht="53" customHeight="1">
      <c r="A24" s="7">
        <v>13</v>
      </c>
      <c r="B24" s="33" t="s">
        <v>22</v>
      </c>
      <c r="C24" s="115" t="s">
        <v>506</v>
      </c>
      <c r="D24" s="51">
        <v>7</v>
      </c>
      <c r="E24" s="47">
        <v>7</v>
      </c>
      <c r="F24" s="35" t="s">
        <v>68</v>
      </c>
      <c r="G24" s="45">
        <v>10</v>
      </c>
      <c r="H24" s="45">
        <v>10</v>
      </c>
      <c r="I24" s="45">
        <v>10</v>
      </c>
      <c r="J24" s="42" t="s">
        <v>59</v>
      </c>
      <c r="K24" s="42" t="s">
        <v>59</v>
      </c>
      <c r="L24" s="45">
        <v>10</v>
      </c>
      <c r="M24" s="47">
        <v>7</v>
      </c>
      <c r="N24" s="35" t="s">
        <v>68</v>
      </c>
      <c r="O24" s="47">
        <v>7</v>
      </c>
      <c r="P24" s="47">
        <v>7</v>
      </c>
      <c r="Q24" s="45">
        <v>10</v>
      </c>
      <c r="R24" s="47">
        <v>6</v>
      </c>
      <c r="S24" s="412">
        <v>0.02</v>
      </c>
      <c r="T24" s="47">
        <v>7</v>
      </c>
      <c r="U24" s="47">
        <v>6</v>
      </c>
      <c r="V24" s="48" t="s">
        <v>68</v>
      </c>
      <c r="W24" s="45">
        <v>8</v>
      </c>
      <c r="X24" s="47">
        <v>7</v>
      </c>
      <c r="Y24" s="48" t="s">
        <v>140</v>
      </c>
      <c r="Z24" s="285">
        <f>(14.88+20.19)/2</f>
        <v>17.535</v>
      </c>
      <c r="AA24" s="48" t="s">
        <v>252</v>
      </c>
      <c r="AB24" s="204" t="s">
        <v>152</v>
      </c>
      <c r="AC24" s="204" t="s">
        <v>18</v>
      </c>
      <c r="AD24" s="204" t="s">
        <v>55</v>
      </c>
      <c r="AE24" s="37" t="s">
        <v>91</v>
      </c>
      <c r="AF24" s="59" t="s">
        <v>68</v>
      </c>
    </row>
    <row r="25" spans="1:32" ht="52" customHeight="1">
      <c r="A25" s="6">
        <v>14</v>
      </c>
      <c r="B25" s="49" t="s">
        <v>23</v>
      </c>
      <c r="C25" s="480" t="s">
        <v>503</v>
      </c>
      <c r="D25" s="46"/>
      <c r="E25" s="35"/>
      <c r="F25" s="35"/>
      <c r="G25" s="35"/>
      <c r="H25" s="48"/>
      <c r="I25" s="45"/>
      <c r="J25" s="45"/>
      <c r="K25" s="35"/>
      <c r="L25" s="35"/>
      <c r="M25" s="35"/>
      <c r="N25" s="35"/>
      <c r="O25" s="45"/>
      <c r="P25" s="35"/>
      <c r="Q25" s="35"/>
      <c r="R25" s="47">
        <v>6</v>
      </c>
      <c r="S25" s="399">
        <v>0.54</v>
      </c>
      <c r="T25" s="47">
        <v>7</v>
      </c>
      <c r="U25" s="47">
        <v>6</v>
      </c>
      <c r="V25" s="48" t="s">
        <v>68</v>
      </c>
      <c r="W25" s="47">
        <v>7</v>
      </c>
      <c r="X25" s="45">
        <v>8</v>
      </c>
      <c r="Y25" s="48" t="s">
        <v>129</v>
      </c>
      <c r="Z25" s="291">
        <f>(3.47+4.87)/2</f>
        <v>4.17</v>
      </c>
      <c r="AA25" s="48" t="s">
        <v>252</v>
      </c>
      <c r="AB25" s="204" t="s">
        <v>152</v>
      </c>
      <c r="AC25" s="204" t="s">
        <v>18</v>
      </c>
      <c r="AD25" s="311" t="s">
        <v>257</v>
      </c>
      <c r="AE25" s="37" t="s">
        <v>481</v>
      </c>
      <c r="AF25" s="59" t="s">
        <v>68</v>
      </c>
    </row>
    <row r="26" spans="1:32" ht="52" customHeight="1">
      <c r="A26" s="7">
        <v>15</v>
      </c>
      <c r="B26" s="49" t="s">
        <v>54</v>
      </c>
      <c r="C26" s="484" t="s">
        <v>504</v>
      </c>
      <c r="D26" s="51"/>
      <c r="E26" s="35"/>
      <c r="F26" s="35"/>
      <c r="G26" s="35"/>
      <c r="H26" s="48"/>
      <c r="I26" s="47"/>
      <c r="J26" s="42"/>
      <c r="K26" s="35"/>
      <c r="L26" s="35"/>
      <c r="M26" s="35"/>
      <c r="N26" s="35"/>
      <c r="O26" s="47"/>
      <c r="P26" s="35"/>
      <c r="Q26" s="35"/>
      <c r="R26" s="409">
        <v>9</v>
      </c>
      <c r="S26" s="404">
        <v>0.06</v>
      </c>
      <c r="T26" s="35" t="s">
        <v>68</v>
      </c>
      <c r="U26" s="35" t="s">
        <v>68</v>
      </c>
      <c r="V26" s="35" t="s">
        <v>68</v>
      </c>
      <c r="W26" s="35" t="s">
        <v>68</v>
      </c>
      <c r="X26" s="35" t="s">
        <v>68</v>
      </c>
      <c r="Y26" s="48" t="s">
        <v>140</v>
      </c>
      <c r="Z26" s="285">
        <f>(34.85+30.46)/2</f>
        <v>32.655000000000001</v>
      </c>
      <c r="AA26" s="48" t="s">
        <v>252</v>
      </c>
      <c r="AB26" s="204" t="s">
        <v>152</v>
      </c>
      <c r="AC26" s="311" t="s">
        <v>470</v>
      </c>
      <c r="AD26" s="204" t="s">
        <v>55</v>
      </c>
      <c r="AE26" s="37" t="s">
        <v>476</v>
      </c>
      <c r="AF26" s="59" t="s">
        <v>68</v>
      </c>
    </row>
    <row r="27" spans="1:32" ht="50" customHeight="1">
      <c r="A27" s="6">
        <v>16</v>
      </c>
      <c r="B27" s="49" t="s">
        <v>24</v>
      </c>
      <c r="C27" s="480" t="s">
        <v>505</v>
      </c>
      <c r="D27" s="51"/>
      <c r="E27" s="35"/>
      <c r="F27" s="35"/>
      <c r="G27" s="35"/>
      <c r="H27" s="48"/>
      <c r="I27" s="47"/>
      <c r="J27" s="42"/>
      <c r="K27" s="35"/>
      <c r="L27" s="35"/>
      <c r="M27" s="35"/>
      <c r="N27" s="35"/>
      <c r="O27" s="42"/>
      <c r="P27" s="35"/>
      <c r="Q27" s="35"/>
      <c r="R27" s="42" t="s">
        <v>59</v>
      </c>
      <c r="S27" s="47" t="s">
        <v>163</v>
      </c>
      <c r="T27" s="47">
        <v>7</v>
      </c>
      <c r="U27" s="42" t="s">
        <v>59</v>
      </c>
      <c r="V27" s="48" t="s">
        <v>68</v>
      </c>
      <c r="W27" s="42" t="s">
        <v>59</v>
      </c>
      <c r="X27" s="47">
        <v>7</v>
      </c>
      <c r="Y27" s="48" t="s">
        <v>140</v>
      </c>
      <c r="Z27" s="285">
        <f>(28+27.62)/2</f>
        <v>27.810000000000002</v>
      </c>
      <c r="AA27" s="48" t="s">
        <v>252</v>
      </c>
      <c r="AB27" s="204" t="s">
        <v>152</v>
      </c>
      <c r="AC27" s="204"/>
      <c r="AD27" s="204" t="s">
        <v>55</v>
      </c>
      <c r="AE27" s="37" t="s">
        <v>477</v>
      </c>
      <c r="AF27" s="59" t="s">
        <v>68</v>
      </c>
    </row>
    <row r="28" spans="1:32" ht="123" customHeight="1" thickBot="1">
      <c r="A28" s="8">
        <v>17</v>
      </c>
      <c r="B28" s="54" t="s">
        <v>25</v>
      </c>
      <c r="C28" s="488" t="s">
        <v>507</v>
      </c>
      <c r="D28" s="60">
        <v>7</v>
      </c>
      <c r="E28" s="63">
        <v>7</v>
      </c>
      <c r="F28" s="62" t="s">
        <v>68</v>
      </c>
      <c r="G28" s="61">
        <v>10</v>
      </c>
      <c r="H28" s="61">
        <v>10</v>
      </c>
      <c r="I28" s="61">
        <v>10</v>
      </c>
      <c r="J28" s="64" t="s">
        <v>59</v>
      </c>
      <c r="K28" s="64" t="s">
        <v>59</v>
      </c>
      <c r="L28" s="61">
        <v>10</v>
      </c>
      <c r="M28" s="63">
        <v>7</v>
      </c>
      <c r="N28" s="62" t="s">
        <v>68</v>
      </c>
      <c r="O28" s="63">
        <v>7</v>
      </c>
      <c r="P28" s="63">
        <v>7</v>
      </c>
      <c r="Q28" s="61">
        <v>10</v>
      </c>
      <c r="R28" s="61">
        <v>9</v>
      </c>
      <c r="S28" s="61" t="s">
        <v>158</v>
      </c>
      <c r="T28" s="62" t="s">
        <v>68</v>
      </c>
      <c r="U28" s="62" t="s">
        <v>68</v>
      </c>
      <c r="V28" s="62" t="s">
        <v>68</v>
      </c>
      <c r="W28" s="62" t="s">
        <v>68</v>
      </c>
      <c r="X28" s="62" t="s">
        <v>68</v>
      </c>
      <c r="Y28" s="65" t="s">
        <v>140</v>
      </c>
      <c r="Z28" s="290">
        <f>(11.68+17.03)/2</f>
        <v>14.355</v>
      </c>
      <c r="AA28" s="65" t="s">
        <v>252</v>
      </c>
      <c r="AB28" s="205" t="s">
        <v>152</v>
      </c>
      <c r="AC28" s="318" t="s">
        <v>469</v>
      </c>
      <c r="AD28" s="318" t="s">
        <v>389</v>
      </c>
      <c r="AE28" s="66" t="s">
        <v>92</v>
      </c>
      <c r="AF28" s="89" t="s">
        <v>68</v>
      </c>
    </row>
    <row r="29" spans="1:32" ht="182" customHeight="1">
      <c r="A29" s="392" t="s">
        <v>419</v>
      </c>
      <c r="B29" s="28" t="s">
        <v>13</v>
      </c>
      <c r="C29" s="487" t="s">
        <v>508</v>
      </c>
      <c r="D29" s="97">
        <v>7</v>
      </c>
      <c r="E29" s="67">
        <v>8</v>
      </c>
      <c r="F29" s="68">
        <v>7</v>
      </c>
      <c r="G29" s="67">
        <v>9</v>
      </c>
      <c r="H29" s="67">
        <v>10</v>
      </c>
      <c r="I29" s="68">
        <v>7</v>
      </c>
      <c r="J29" s="68">
        <v>7</v>
      </c>
      <c r="K29" s="67">
        <v>8</v>
      </c>
      <c r="L29" s="67">
        <v>9</v>
      </c>
      <c r="M29" s="68">
        <v>7</v>
      </c>
      <c r="N29" s="67">
        <v>8</v>
      </c>
      <c r="O29" s="68" t="s">
        <v>60</v>
      </c>
      <c r="P29" s="98"/>
      <c r="Q29" s="52"/>
      <c r="R29" s="68" t="s">
        <v>60</v>
      </c>
      <c r="S29" s="398">
        <v>0.2</v>
      </c>
      <c r="T29" s="31"/>
      <c r="U29" s="31"/>
      <c r="V29" s="87"/>
      <c r="W29" s="96"/>
      <c r="X29" s="96"/>
      <c r="Y29" s="98" t="s">
        <v>129</v>
      </c>
      <c r="Z29" s="284">
        <f>(16.829+8.76)/2</f>
        <v>12.794499999999999</v>
      </c>
      <c r="AA29" s="98" t="s">
        <v>252</v>
      </c>
      <c r="AB29" s="138" t="s">
        <v>164</v>
      </c>
      <c r="AC29" s="316" t="s">
        <v>18</v>
      </c>
      <c r="AD29" s="312" t="s">
        <v>262</v>
      </c>
      <c r="AE29" s="32" t="s">
        <v>98</v>
      </c>
      <c r="AF29" s="58" t="s">
        <v>80</v>
      </c>
    </row>
    <row r="30" spans="1:32" ht="49" customHeight="1">
      <c r="A30" s="7">
        <v>18</v>
      </c>
      <c r="B30" s="33" t="s">
        <v>26</v>
      </c>
      <c r="C30" s="115" t="s">
        <v>509</v>
      </c>
      <c r="D30" s="46">
        <v>10</v>
      </c>
      <c r="E30" s="45">
        <v>10</v>
      </c>
      <c r="F30" s="35" t="s">
        <v>68</v>
      </c>
      <c r="G30" s="45">
        <v>10</v>
      </c>
      <c r="H30" s="45">
        <v>10</v>
      </c>
      <c r="I30" s="47">
        <v>7</v>
      </c>
      <c r="J30" s="47">
        <v>7</v>
      </c>
      <c r="K30" s="45">
        <v>10</v>
      </c>
      <c r="L30" s="45">
        <v>9</v>
      </c>
      <c r="M30" s="47">
        <v>7</v>
      </c>
      <c r="N30" s="35" t="s">
        <v>68</v>
      </c>
      <c r="O30" s="45">
        <v>10</v>
      </c>
      <c r="P30" s="45">
        <v>10</v>
      </c>
      <c r="Q30" s="47">
        <v>7</v>
      </c>
      <c r="R30" s="45">
        <v>10</v>
      </c>
      <c r="S30" s="404">
        <v>0</v>
      </c>
      <c r="T30" s="35" t="s">
        <v>68</v>
      </c>
      <c r="U30" s="35" t="s">
        <v>68</v>
      </c>
      <c r="V30" s="35" t="s">
        <v>68</v>
      </c>
      <c r="W30" s="35" t="s">
        <v>68</v>
      </c>
      <c r="X30" s="35" t="s">
        <v>68</v>
      </c>
      <c r="Y30" s="48" t="s">
        <v>129</v>
      </c>
      <c r="Z30" s="285">
        <f>(0.63+0.98)/2</f>
        <v>0.80499999999999994</v>
      </c>
      <c r="AA30" s="48" t="s">
        <v>252</v>
      </c>
      <c r="AB30" s="204" t="s">
        <v>136</v>
      </c>
      <c r="AC30" s="204" t="s">
        <v>18</v>
      </c>
      <c r="AD30" s="311" t="s">
        <v>253</v>
      </c>
      <c r="AE30" s="37" t="s">
        <v>93</v>
      </c>
      <c r="AF30" s="59" t="s">
        <v>68</v>
      </c>
    </row>
    <row r="31" spans="1:32" ht="87" customHeight="1" thickBot="1">
      <c r="A31" s="8">
        <v>19</v>
      </c>
      <c r="B31" s="54" t="s">
        <v>27</v>
      </c>
      <c r="C31" s="488" t="s">
        <v>510</v>
      </c>
      <c r="D31" s="60">
        <v>7</v>
      </c>
      <c r="E31" s="61">
        <v>8</v>
      </c>
      <c r="F31" s="63">
        <v>7</v>
      </c>
      <c r="G31" s="61">
        <v>9</v>
      </c>
      <c r="H31" s="61">
        <v>10</v>
      </c>
      <c r="I31" s="61">
        <v>10</v>
      </c>
      <c r="J31" s="61">
        <v>8</v>
      </c>
      <c r="K31" s="61">
        <v>8</v>
      </c>
      <c r="L31" s="61">
        <v>10</v>
      </c>
      <c r="M31" s="61">
        <v>8</v>
      </c>
      <c r="N31" s="61">
        <v>8</v>
      </c>
      <c r="O31" s="61">
        <v>8</v>
      </c>
      <c r="P31" s="61">
        <v>8</v>
      </c>
      <c r="Q31" s="61">
        <v>8</v>
      </c>
      <c r="R31" s="61">
        <v>8</v>
      </c>
      <c r="S31" s="401">
        <v>0.26</v>
      </c>
      <c r="T31" s="61">
        <v>8</v>
      </c>
      <c r="U31" s="62" t="s">
        <v>68</v>
      </c>
      <c r="V31" s="61">
        <v>8</v>
      </c>
      <c r="W31" s="62" t="s">
        <v>68</v>
      </c>
      <c r="X31" s="62" t="s">
        <v>68</v>
      </c>
      <c r="Y31" s="65" t="s">
        <v>129</v>
      </c>
      <c r="Z31" s="290">
        <f>(5.63+9.09)/2</f>
        <v>7.3599999999999994</v>
      </c>
      <c r="AA31" s="65" t="s">
        <v>252</v>
      </c>
      <c r="AB31" s="201" t="s">
        <v>171</v>
      </c>
      <c r="AC31" s="205" t="s">
        <v>18</v>
      </c>
      <c r="AD31" s="318" t="s">
        <v>257</v>
      </c>
      <c r="AE31" s="66" t="s">
        <v>94</v>
      </c>
      <c r="AF31" s="89" t="s">
        <v>68</v>
      </c>
    </row>
    <row r="32" spans="1:32" ht="157" customHeight="1" thickBot="1">
      <c r="A32" s="12">
        <v>20</v>
      </c>
      <c r="B32" s="77" t="s">
        <v>28</v>
      </c>
      <c r="C32" s="486" t="s">
        <v>511</v>
      </c>
      <c r="D32" s="99">
        <v>7</v>
      </c>
      <c r="E32" s="100">
        <v>8</v>
      </c>
      <c r="F32" s="101">
        <v>7</v>
      </c>
      <c r="G32" s="100">
        <v>9</v>
      </c>
      <c r="H32" s="100">
        <v>8</v>
      </c>
      <c r="I32" s="100">
        <v>9</v>
      </c>
      <c r="J32" s="101">
        <v>6</v>
      </c>
      <c r="K32" s="100">
        <v>8</v>
      </c>
      <c r="L32" s="100">
        <v>9</v>
      </c>
      <c r="M32" s="101">
        <v>6</v>
      </c>
      <c r="N32" s="101">
        <v>7</v>
      </c>
      <c r="O32" s="100">
        <v>8</v>
      </c>
      <c r="P32" s="100">
        <v>9</v>
      </c>
      <c r="Q32" s="100">
        <v>8</v>
      </c>
      <c r="R32" s="100">
        <v>9</v>
      </c>
      <c r="S32" s="395" t="s">
        <v>282</v>
      </c>
      <c r="T32" s="40" t="s">
        <v>68</v>
      </c>
      <c r="U32" s="40" t="s">
        <v>68</v>
      </c>
      <c r="V32" s="40" t="s">
        <v>68</v>
      </c>
      <c r="W32" s="40" t="s">
        <v>68</v>
      </c>
      <c r="X32" s="40" t="s">
        <v>68</v>
      </c>
      <c r="Y32" s="140" t="s">
        <v>129</v>
      </c>
      <c r="Z32" s="292">
        <f>(1.515+0.69)/2</f>
        <v>1.1025</v>
      </c>
      <c r="AA32" s="140" t="s">
        <v>252</v>
      </c>
      <c r="AB32" s="203" t="s">
        <v>130</v>
      </c>
      <c r="AC32" s="317" t="s">
        <v>18</v>
      </c>
      <c r="AD32" s="317" t="s">
        <v>55</v>
      </c>
      <c r="AE32" s="82" t="s">
        <v>95</v>
      </c>
      <c r="AF32" s="83" t="s">
        <v>96</v>
      </c>
    </row>
    <row r="33" spans="1:32" ht="76" customHeight="1" thickBot="1">
      <c r="A33" s="12">
        <v>21</v>
      </c>
      <c r="B33" s="77" t="s">
        <v>357</v>
      </c>
      <c r="C33" s="486" t="s">
        <v>512</v>
      </c>
      <c r="D33" s="99">
        <v>7</v>
      </c>
      <c r="E33" s="101">
        <v>7</v>
      </c>
      <c r="F33" s="100">
        <v>9</v>
      </c>
      <c r="G33" s="100">
        <v>9</v>
      </c>
      <c r="H33" s="101">
        <v>7</v>
      </c>
      <c r="I33" s="100">
        <v>9</v>
      </c>
      <c r="J33" s="101">
        <v>6</v>
      </c>
      <c r="K33" s="100">
        <v>8</v>
      </c>
      <c r="L33" s="100">
        <v>9</v>
      </c>
      <c r="M33" s="101">
        <v>6</v>
      </c>
      <c r="N33" s="101">
        <v>7</v>
      </c>
      <c r="O33" s="80" t="s">
        <v>59</v>
      </c>
      <c r="P33" s="80" t="s">
        <v>59</v>
      </c>
      <c r="Q33" s="100">
        <v>8</v>
      </c>
      <c r="R33" s="101">
        <v>7</v>
      </c>
      <c r="S33" s="402">
        <v>0.4</v>
      </c>
      <c r="T33" s="101">
        <v>7</v>
      </c>
      <c r="U33" s="102" t="s">
        <v>68</v>
      </c>
      <c r="V33" s="100">
        <v>8</v>
      </c>
      <c r="W33" s="102" t="s">
        <v>68</v>
      </c>
      <c r="X33" s="102" t="s">
        <v>68</v>
      </c>
      <c r="Y33" s="141" t="s">
        <v>140</v>
      </c>
      <c r="Z33" s="289">
        <f>(0.1+0.12)/2</f>
        <v>0.11</v>
      </c>
      <c r="AA33" s="141" t="s">
        <v>252</v>
      </c>
      <c r="AB33" s="203" t="s">
        <v>130</v>
      </c>
      <c r="AC33" s="203" t="s">
        <v>18</v>
      </c>
      <c r="AD33" s="203" t="s">
        <v>55</v>
      </c>
      <c r="AE33" s="82" t="s">
        <v>97</v>
      </c>
      <c r="AF33" s="282" t="s">
        <v>250</v>
      </c>
    </row>
    <row r="34" spans="1:32" s="3" customFormat="1" ht="166" customHeight="1">
      <c r="A34" s="392" t="s">
        <v>419</v>
      </c>
      <c r="B34" s="28" t="s">
        <v>6</v>
      </c>
      <c r="C34" s="487" t="s">
        <v>513</v>
      </c>
      <c r="D34" s="103">
        <v>10</v>
      </c>
      <c r="E34" s="67">
        <v>10</v>
      </c>
      <c r="F34" s="31" t="s">
        <v>68</v>
      </c>
      <c r="G34" s="67">
        <v>10</v>
      </c>
      <c r="H34" s="67">
        <v>10</v>
      </c>
      <c r="I34" s="68">
        <v>7</v>
      </c>
      <c r="J34" s="67">
        <v>8</v>
      </c>
      <c r="K34" s="67">
        <v>10</v>
      </c>
      <c r="L34" s="67">
        <v>9</v>
      </c>
      <c r="M34" s="104">
        <v>8</v>
      </c>
      <c r="N34" s="31" t="s">
        <v>68</v>
      </c>
      <c r="O34" s="68">
        <v>6</v>
      </c>
      <c r="P34" s="68">
        <v>6</v>
      </c>
      <c r="Q34" s="68">
        <v>7</v>
      </c>
      <c r="R34" s="69" t="s">
        <v>59</v>
      </c>
      <c r="S34" s="398">
        <v>0.33</v>
      </c>
      <c r="T34" s="69" t="s">
        <v>59</v>
      </c>
      <c r="U34" s="69" t="s">
        <v>59</v>
      </c>
      <c r="V34" s="98" t="s">
        <v>68</v>
      </c>
      <c r="W34" s="67">
        <v>8</v>
      </c>
      <c r="X34" s="69" t="s">
        <v>59</v>
      </c>
      <c r="Y34" s="98" t="s">
        <v>140</v>
      </c>
      <c r="Z34" s="284">
        <f>(310.241+110.6)/2</f>
        <v>210.4205</v>
      </c>
      <c r="AA34" s="98" t="s">
        <v>252</v>
      </c>
      <c r="AB34" s="202" t="s">
        <v>146</v>
      </c>
      <c r="AC34" s="202" t="s">
        <v>18</v>
      </c>
      <c r="AD34" s="312" t="s">
        <v>266</v>
      </c>
      <c r="AE34" s="32" t="s">
        <v>100</v>
      </c>
      <c r="AF34" s="58" t="s">
        <v>80</v>
      </c>
    </row>
    <row r="35" spans="1:32" s="18" customFormat="1" ht="133" customHeight="1">
      <c r="A35" s="41">
        <v>22</v>
      </c>
      <c r="B35" s="53" t="s">
        <v>29</v>
      </c>
      <c r="C35" s="480" t="s">
        <v>514</v>
      </c>
      <c r="D35" s="46">
        <v>10</v>
      </c>
      <c r="E35" s="45">
        <v>10</v>
      </c>
      <c r="F35" s="35" t="s">
        <v>68</v>
      </c>
      <c r="G35" s="45">
        <v>10</v>
      </c>
      <c r="H35" s="45">
        <v>10</v>
      </c>
      <c r="I35" s="47">
        <v>7</v>
      </c>
      <c r="J35" s="45">
        <v>8</v>
      </c>
      <c r="K35" s="45">
        <v>10</v>
      </c>
      <c r="L35" s="45">
        <v>9</v>
      </c>
      <c r="M35" s="45">
        <v>8</v>
      </c>
      <c r="N35" s="35" t="s">
        <v>68</v>
      </c>
      <c r="O35" s="47">
        <v>6</v>
      </c>
      <c r="P35" s="47">
        <v>6</v>
      </c>
      <c r="Q35" s="47">
        <v>7</v>
      </c>
      <c r="R35" s="42" t="s">
        <v>59</v>
      </c>
      <c r="S35" s="399">
        <v>0.82</v>
      </c>
      <c r="T35" s="42" t="s">
        <v>59</v>
      </c>
      <c r="U35" s="42" t="s">
        <v>59</v>
      </c>
      <c r="V35" s="48" t="s">
        <v>68</v>
      </c>
      <c r="W35" s="45">
        <v>8</v>
      </c>
      <c r="X35" s="42" t="s">
        <v>59</v>
      </c>
      <c r="Y35" s="48" t="s">
        <v>140</v>
      </c>
      <c r="Z35" s="285">
        <f>(116.23+45.81)/2</f>
        <v>81.02000000000001</v>
      </c>
      <c r="AA35" s="48" t="s">
        <v>252</v>
      </c>
      <c r="AB35" s="204" t="s">
        <v>146</v>
      </c>
      <c r="AC35" s="204" t="s">
        <v>18</v>
      </c>
      <c r="AD35" s="204" t="s">
        <v>263</v>
      </c>
      <c r="AE35" s="38" t="s">
        <v>99</v>
      </c>
      <c r="AF35" s="59" t="s">
        <v>68</v>
      </c>
    </row>
    <row r="36" spans="1:32" ht="63" customHeight="1" thickBot="1">
      <c r="A36" s="8">
        <v>23</v>
      </c>
      <c r="B36" s="54" t="s">
        <v>30</v>
      </c>
      <c r="C36" s="488" t="s">
        <v>515</v>
      </c>
      <c r="D36" s="70">
        <v>10</v>
      </c>
      <c r="E36" s="61">
        <v>10</v>
      </c>
      <c r="F36" s="62" t="s">
        <v>68</v>
      </c>
      <c r="G36" s="61">
        <v>10</v>
      </c>
      <c r="H36" s="61">
        <v>10</v>
      </c>
      <c r="I36" s="61">
        <v>10</v>
      </c>
      <c r="J36" s="61">
        <v>8</v>
      </c>
      <c r="K36" s="61">
        <v>10</v>
      </c>
      <c r="L36" s="61">
        <v>9</v>
      </c>
      <c r="M36" s="61">
        <v>8</v>
      </c>
      <c r="N36" s="62" t="s">
        <v>68</v>
      </c>
      <c r="O36" s="61">
        <v>8</v>
      </c>
      <c r="P36" s="61">
        <v>8</v>
      </c>
      <c r="Q36" s="61">
        <v>9</v>
      </c>
      <c r="R36" s="61">
        <v>9</v>
      </c>
      <c r="S36" s="403">
        <v>0.01</v>
      </c>
      <c r="T36" s="62" t="s">
        <v>68</v>
      </c>
      <c r="U36" s="62" t="s">
        <v>68</v>
      </c>
      <c r="V36" s="62" t="s">
        <v>68</v>
      </c>
      <c r="W36" s="62" t="s">
        <v>68</v>
      </c>
      <c r="X36" s="62" t="s">
        <v>68</v>
      </c>
      <c r="Y36" s="65" t="s">
        <v>135</v>
      </c>
      <c r="Z36" s="290">
        <f>(142.6+33.56)/2</f>
        <v>88.08</v>
      </c>
      <c r="AA36" s="65" t="s">
        <v>252</v>
      </c>
      <c r="AB36" s="205" t="s">
        <v>146</v>
      </c>
      <c r="AC36" s="205" t="s">
        <v>18</v>
      </c>
      <c r="AD36" s="318" t="s">
        <v>257</v>
      </c>
      <c r="AE36" s="476" t="s">
        <v>101</v>
      </c>
      <c r="AF36" s="89" t="s">
        <v>68</v>
      </c>
    </row>
    <row r="37" spans="1:32" ht="73" customHeight="1" thickBot="1">
      <c r="A37" s="393" t="s">
        <v>419</v>
      </c>
      <c r="B37" s="84" t="s">
        <v>7</v>
      </c>
      <c r="C37" s="489" t="s">
        <v>497</v>
      </c>
      <c r="D37" s="192"/>
      <c r="E37" s="85"/>
      <c r="F37" s="85"/>
      <c r="G37" s="85"/>
      <c r="H37" s="86"/>
      <c r="I37" s="193"/>
      <c r="J37" s="193"/>
      <c r="K37" s="85"/>
      <c r="L37" s="85"/>
      <c r="M37" s="85"/>
      <c r="N37" s="85"/>
      <c r="O37" s="193"/>
      <c r="P37" s="85"/>
      <c r="Q37" s="85"/>
      <c r="R37" s="191"/>
      <c r="S37" s="406">
        <v>7.0000000000000007E-2</v>
      </c>
      <c r="T37" s="85"/>
      <c r="U37" s="85"/>
      <c r="V37" s="86"/>
      <c r="W37" s="85"/>
      <c r="X37" s="85"/>
      <c r="Y37" s="141" t="s">
        <v>129</v>
      </c>
      <c r="Z37" s="289">
        <f>(18.565+1.231)/2</f>
        <v>9.8980000000000015</v>
      </c>
      <c r="AA37" s="141" t="s">
        <v>252</v>
      </c>
      <c r="AB37" s="203" t="s">
        <v>146</v>
      </c>
      <c r="AC37" s="315" t="s">
        <v>18</v>
      </c>
      <c r="AD37" s="312" t="s">
        <v>279</v>
      </c>
      <c r="AE37" s="32" t="s">
        <v>480</v>
      </c>
      <c r="AF37" s="472" t="s">
        <v>472</v>
      </c>
    </row>
    <row r="38" spans="1:32" ht="94" customHeight="1">
      <c r="A38" s="392" t="s">
        <v>419</v>
      </c>
      <c r="B38" s="28" t="s">
        <v>8</v>
      </c>
      <c r="C38" s="149" t="s">
        <v>516</v>
      </c>
      <c r="D38" s="97">
        <v>7</v>
      </c>
      <c r="E38" s="97">
        <v>7</v>
      </c>
      <c r="F38" s="31" t="s">
        <v>68</v>
      </c>
      <c r="G38" s="67">
        <v>8</v>
      </c>
      <c r="H38" s="68">
        <v>7</v>
      </c>
      <c r="I38" s="68">
        <v>7</v>
      </c>
      <c r="J38" s="69" t="s">
        <v>59</v>
      </c>
      <c r="K38" s="69" t="s">
        <v>59</v>
      </c>
      <c r="L38" s="68">
        <v>7</v>
      </c>
      <c r="M38" s="68">
        <v>7</v>
      </c>
      <c r="N38" s="31" t="s">
        <v>68</v>
      </c>
      <c r="O38" s="68">
        <v>6</v>
      </c>
      <c r="P38" s="68">
        <v>6</v>
      </c>
      <c r="Q38" s="68">
        <v>7</v>
      </c>
      <c r="R38" s="69" t="s">
        <v>59</v>
      </c>
      <c r="S38" s="68" t="s">
        <v>179</v>
      </c>
      <c r="T38" s="68">
        <v>6</v>
      </c>
      <c r="U38" s="69" t="s">
        <v>59</v>
      </c>
      <c r="V38" s="98"/>
      <c r="W38" s="68">
        <v>7</v>
      </c>
      <c r="X38" s="68">
        <v>6</v>
      </c>
      <c r="Y38" s="98" t="s">
        <v>140</v>
      </c>
      <c r="Z38" s="284">
        <f>(292.878+241.421)/2</f>
        <v>267.14949999999999</v>
      </c>
      <c r="AA38" s="98" t="s">
        <v>252</v>
      </c>
      <c r="AB38" s="202" t="s">
        <v>152</v>
      </c>
      <c r="AC38" s="202" t="s">
        <v>18</v>
      </c>
      <c r="AD38" s="312" t="s">
        <v>272</v>
      </c>
      <c r="AE38" s="32" t="s">
        <v>121</v>
      </c>
      <c r="AF38" s="477" t="s">
        <v>122</v>
      </c>
    </row>
    <row r="39" spans="1:32" ht="121" customHeight="1">
      <c r="A39" s="7">
        <v>24</v>
      </c>
      <c r="B39" s="33" t="s">
        <v>31</v>
      </c>
      <c r="C39" s="115" t="s">
        <v>517</v>
      </c>
      <c r="D39" s="46">
        <v>8</v>
      </c>
      <c r="E39" s="45">
        <v>8</v>
      </c>
      <c r="F39" s="35" t="s">
        <v>68</v>
      </c>
      <c r="G39" s="45">
        <v>8</v>
      </c>
      <c r="H39" s="45">
        <v>8</v>
      </c>
      <c r="I39" s="47">
        <v>7</v>
      </c>
      <c r="J39" s="47">
        <v>6</v>
      </c>
      <c r="K39" s="47">
        <v>6</v>
      </c>
      <c r="L39" s="45">
        <v>9</v>
      </c>
      <c r="M39" s="45">
        <v>8</v>
      </c>
      <c r="N39" s="35" t="s">
        <v>68</v>
      </c>
      <c r="O39" s="45">
        <v>10</v>
      </c>
      <c r="P39" s="105" t="s">
        <v>103</v>
      </c>
      <c r="Q39" s="45">
        <v>10</v>
      </c>
      <c r="R39" s="42" t="s">
        <v>59</v>
      </c>
      <c r="S39" s="47" t="s">
        <v>283</v>
      </c>
      <c r="T39" s="47">
        <v>6</v>
      </c>
      <c r="U39" s="42" t="s">
        <v>59</v>
      </c>
      <c r="V39" s="48" t="s">
        <v>68</v>
      </c>
      <c r="W39" s="45">
        <v>8</v>
      </c>
      <c r="X39" s="47">
        <v>6</v>
      </c>
      <c r="Y39" s="48" t="s">
        <v>140</v>
      </c>
      <c r="Z39" s="285">
        <f>(4.14+0.073)/2</f>
        <v>2.1065</v>
      </c>
      <c r="AA39" s="48" t="s">
        <v>252</v>
      </c>
      <c r="AB39" s="129" t="s">
        <v>152</v>
      </c>
      <c r="AC39" s="204" t="s">
        <v>18</v>
      </c>
      <c r="AD39" s="310" t="s">
        <v>260</v>
      </c>
      <c r="AE39" s="37" t="s">
        <v>102</v>
      </c>
      <c r="AF39" s="59" t="s">
        <v>68</v>
      </c>
    </row>
    <row r="40" spans="1:32" ht="75" customHeight="1">
      <c r="A40" s="7">
        <v>25</v>
      </c>
      <c r="B40" s="341" t="s">
        <v>32</v>
      </c>
      <c r="C40" s="115" t="s">
        <v>518</v>
      </c>
      <c r="D40" s="46">
        <v>8</v>
      </c>
      <c r="E40" s="45">
        <v>8</v>
      </c>
      <c r="F40" s="35" t="s">
        <v>68</v>
      </c>
      <c r="G40" s="45">
        <v>10</v>
      </c>
      <c r="H40" s="45">
        <v>10</v>
      </c>
      <c r="I40" s="45">
        <v>10</v>
      </c>
      <c r="J40" s="47">
        <v>6</v>
      </c>
      <c r="K40" s="47">
        <v>6</v>
      </c>
      <c r="L40" s="45">
        <v>9</v>
      </c>
      <c r="M40" s="45">
        <v>8</v>
      </c>
      <c r="N40" s="35" t="s">
        <v>68</v>
      </c>
      <c r="O40" s="45">
        <v>10</v>
      </c>
      <c r="P40" s="45">
        <v>10</v>
      </c>
      <c r="Q40" s="45">
        <v>10</v>
      </c>
      <c r="R40" s="45">
        <v>10</v>
      </c>
      <c r="S40" s="404">
        <v>0</v>
      </c>
      <c r="T40" s="35" t="s">
        <v>68</v>
      </c>
      <c r="U40" s="35" t="s">
        <v>68</v>
      </c>
      <c r="V40" s="35" t="s">
        <v>68</v>
      </c>
      <c r="W40" s="35" t="s">
        <v>68</v>
      </c>
      <c r="X40" s="35" t="s">
        <v>68</v>
      </c>
      <c r="Y40" s="48" t="s">
        <v>129</v>
      </c>
      <c r="Z40" s="285">
        <f>(18.28+36.98)/2</f>
        <v>27.63</v>
      </c>
      <c r="AA40" s="48" t="s">
        <v>252</v>
      </c>
      <c r="AB40" s="129" t="s">
        <v>152</v>
      </c>
      <c r="AC40" s="204" t="s">
        <v>18</v>
      </c>
      <c r="AD40" s="204" t="s">
        <v>55</v>
      </c>
      <c r="AE40" s="37" t="s">
        <v>104</v>
      </c>
      <c r="AF40" s="278" t="s">
        <v>68</v>
      </c>
    </row>
    <row r="41" spans="1:32" ht="81" customHeight="1">
      <c r="A41" s="7">
        <v>26</v>
      </c>
      <c r="B41" s="33" t="s">
        <v>33</v>
      </c>
      <c r="C41" s="115" t="s">
        <v>519</v>
      </c>
      <c r="D41" s="46">
        <v>8</v>
      </c>
      <c r="E41" s="45">
        <v>8</v>
      </c>
      <c r="F41" s="35" t="s">
        <v>68</v>
      </c>
      <c r="G41" s="109">
        <v>10</v>
      </c>
      <c r="H41" s="109">
        <v>10</v>
      </c>
      <c r="I41" s="109">
        <v>10</v>
      </c>
      <c r="J41" s="109">
        <v>8</v>
      </c>
      <c r="K41" s="109">
        <v>8</v>
      </c>
      <c r="L41" s="109">
        <v>8</v>
      </c>
      <c r="M41" s="109">
        <v>10</v>
      </c>
      <c r="N41" s="35" t="s">
        <v>68</v>
      </c>
      <c r="O41" s="45">
        <v>10</v>
      </c>
      <c r="P41" s="45">
        <v>10</v>
      </c>
      <c r="Q41" s="45">
        <v>10</v>
      </c>
      <c r="R41" s="47">
        <v>7</v>
      </c>
      <c r="S41" s="399">
        <v>0.27</v>
      </c>
      <c r="T41" s="47">
        <v>7</v>
      </c>
      <c r="U41" s="45">
        <v>8</v>
      </c>
      <c r="V41" s="35" t="s">
        <v>68</v>
      </c>
      <c r="W41" s="47">
        <v>7</v>
      </c>
      <c r="X41" s="45">
        <v>8</v>
      </c>
      <c r="Y41" s="48" t="s">
        <v>129</v>
      </c>
      <c r="Z41" s="285">
        <f>(22.01+18)/2</f>
        <v>20.005000000000003</v>
      </c>
      <c r="AA41" s="48" t="s">
        <v>252</v>
      </c>
      <c r="AB41" s="129" t="s">
        <v>152</v>
      </c>
      <c r="AC41" s="204" t="s">
        <v>18</v>
      </c>
      <c r="AD41" s="311" t="s">
        <v>253</v>
      </c>
      <c r="AE41" s="37" t="s">
        <v>120</v>
      </c>
      <c r="AF41" s="59"/>
    </row>
    <row r="42" spans="1:32" ht="95" customHeight="1">
      <c r="A42" s="7">
        <v>27</v>
      </c>
      <c r="B42" s="33" t="s">
        <v>34</v>
      </c>
      <c r="C42" s="115" t="s">
        <v>520</v>
      </c>
      <c r="D42" s="51">
        <v>7</v>
      </c>
      <c r="E42" s="51">
        <v>7.5</v>
      </c>
      <c r="F42" s="35" t="s">
        <v>68</v>
      </c>
      <c r="G42" s="45">
        <v>10</v>
      </c>
      <c r="H42" s="51">
        <v>7</v>
      </c>
      <c r="I42" s="45">
        <v>8</v>
      </c>
      <c r="J42" s="47">
        <v>7</v>
      </c>
      <c r="K42" s="47">
        <v>7</v>
      </c>
      <c r="L42" s="45">
        <v>10</v>
      </c>
      <c r="M42" s="47">
        <v>7.5</v>
      </c>
      <c r="N42" s="35" t="s">
        <v>68</v>
      </c>
      <c r="O42" s="45">
        <v>8</v>
      </c>
      <c r="P42" s="45">
        <v>8</v>
      </c>
      <c r="Q42" s="45">
        <v>10</v>
      </c>
      <c r="R42" s="45">
        <v>9</v>
      </c>
      <c r="S42" s="404" t="s">
        <v>158</v>
      </c>
      <c r="T42" s="35" t="s">
        <v>68</v>
      </c>
      <c r="U42" s="35" t="s">
        <v>68</v>
      </c>
      <c r="V42" s="35" t="s">
        <v>68</v>
      </c>
      <c r="W42" s="35" t="s">
        <v>68</v>
      </c>
      <c r="X42" s="35" t="s">
        <v>68</v>
      </c>
      <c r="Y42" s="48" t="s">
        <v>129</v>
      </c>
      <c r="Z42" s="285">
        <f>(3.04+49.87)/2</f>
        <v>26.454999999999998</v>
      </c>
      <c r="AA42" s="48" t="s">
        <v>252</v>
      </c>
      <c r="AB42" s="129" t="s">
        <v>152</v>
      </c>
      <c r="AC42" s="204" t="s">
        <v>18</v>
      </c>
      <c r="AD42" s="311" t="s">
        <v>271</v>
      </c>
      <c r="AE42" s="37" t="s">
        <v>119</v>
      </c>
      <c r="AF42" s="278" t="s">
        <v>68</v>
      </c>
    </row>
    <row r="43" spans="1:32" ht="89" customHeight="1">
      <c r="A43" s="7">
        <v>28</v>
      </c>
      <c r="B43" s="33" t="s">
        <v>35</v>
      </c>
      <c r="C43" s="115" t="s">
        <v>521</v>
      </c>
      <c r="D43" s="51">
        <v>7</v>
      </c>
      <c r="E43" s="47">
        <v>7</v>
      </c>
      <c r="F43" s="35" t="s">
        <v>68</v>
      </c>
      <c r="G43" s="45">
        <v>9</v>
      </c>
      <c r="H43" s="47">
        <v>7</v>
      </c>
      <c r="I43" s="47">
        <v>7</v>
      </c>
      <c r="J43" s="42" t="s">
        <v>59</v>
      </c>
      <c r="K43" s="42" t="s">
        <v>59</v>
      </c>
      <c r="L43" s="47">
        <v>7</v>
      </c>
      <c r="M43" s="47">
        <v>7</v>
      </c>
      <c r="N43" s="35" t="s">
        <v>68</v>
      </c>
      <c r="O43" s="47">
        <v>6</v>
      </c>
      <c r="P43" s="47">
        <v>6</v>
      </c>
      <c r="Q43" s="47">
        <v>7</v>
      </c>
      <c r="R43" s="42" t="s">
        <v>59</v>
      </c>
      <c r="S43" s="47" t="s">
        <v>284</v>
      </c>
      <c r="T43" s="47">
        <v>7</v>
      </c>
      <c r="U43" s="42" t="s">
        <v>59</v>
      </c>
      <c r="V43" s="48" t="s">
        <v>68</v>
      </c>
      <c r="W43" s="47">
        <v>7</v>
      </c>
      <c r="X43" s="47">
        <v>7</v>
      </c>
      <c r="Y43" s="48" t="s">
        <v>140</v>
      </c>
      <c r="Z43" s="285">
        <f>(70.03+116.18)/2</f>
        <v>93.105000000000004</v>
      </c>
      <c r="AA43" s="48" t="s">
        <v>252</v>
      </c>
      <c r="AB43" s="129" t="s">
        <v>152</v>
      </c>
      <c r="AC43" s="204" t="s">
        <v>18</v>
      </c>
      <c r="AD43" s="204" t="s">
        <v>55</v>
      </c>
      <c r="AE43" s="37" t="s">
        <v>105</v>
      </c>
      <c r="AF43" s="278" t="s">
        <v>68</v>
      </c>
    </row>
    <row r="44" spans="1:32" ht="98" customHeight="1" thickBot="1">
      <c r="A44" s="8">
        <v>29</v>
      </c>
      <c r="B44" s="54" t="s">
        <v>36</v>
      </c>
      <c r="C44" s="488" t="s">
        <v>522</v>
      </c>
      <c r="D44" s="60">
        <v>7</v>
      </c>
      <c r="E44" s="63">
        <v>7</v>
      </c>
      <c r="F44" s="62" t="s">
        <v>68</v>
      </c>
      <c r="G44" s="61">
        <v>10</v>
      </c>
      <c r="H44" s="61">
        <v>10</v>
      </c>
      <c r="I44" s="61">
        <v>10</v>
      </c>
      <c r="J44" s="63">
        <v>6</v>
      </c>
      <c r="K44" s="63">
        <v>6</v>
      </c>
      <c r="L44" s="61">
        <v>9</v>
      </c>
      <c r="M44" s="61">
        <v>8</v>
      </c>
      <c r="N44" s="62" t="s">
        <v>68</v>
      </c>
      <c r="O44" s="61">
        <v>10</v>
      </c>
      <c r="P44" s="61">
        <v>10</v>
      </c>
      <c r="Q44" s="61">
        <v>10</v>
      </c>
      <c r="R44" s="61">
        <v>10</v>
      </c>
      <c r="S44" s="403">
        <v>0</v>
      </c>
      <c r="T44" s="62" t="s">
        <v>68</v>
      </c>
      <c r="U44" s="62" t="s">
        <v>68</v>
      </c>
      <c r="V44" s="62" t="s">
        <v>68</v>
      </c>
      <c r="W44" s="62" t="s">
        <v>68</v>
      </c>
      <c r="X44" s="62" t="s">
        <v>68</v>
      </c>
      <c r="Y44" s="65" t="s">
        <v>129</v>
      </c>
      <c r="Z44" s="290">
        <f>(156.059+2.25)/2</f>
        <v>79.154499999999999</v>
      </c>
      <c r="AA44" s="48" t="s">
        <v>252</v>
      </c>
      <c r="AB44" s="205" t="s">
        <v>152</v>
      </c>
      <c r="AC44" s="318" t="s">
        <v>469</v>
      </c>
      <c r="AD44" s="318" t="s">
        <v>389</v>
      </c>
      <c r="AE44" s="66" t="s">
        <v>106</v>
      </c>
      <c r="AF44" s="279" t="s">
        <v>68</v>
      </c>
    </row>
    <row r="45" spans="1:32" ht="179" customHeight="1">
      <c r="A45" s="392" t="s">
        <v>419</v>
      </c>
      <c r="B45" s="28" t="s">
        <v>9</v>
      </c>
      <c r="C45" s="487" t="s">
        <v>523</v>
      </c>
      <c r="D45" s="97">
        <v>7</v>
      </c>
      <c r="E45" s="67">
        <v>8</v>
      </c>
      <c r="F45" s="31" t="s">
        <v>68</v>
      </c>
      <c r="G45" s="67">
        <v>8</v>
      </c>
      <c r="H45" s="68">
        <v>7</v>
      </c>
      <c r="I45" s="68">
        <v>7</v>
      </c>
      <c r="J45" s="68">
        <v>7</v>
      </c>
      <c r="K45" s="67">
        <v>10</v>
      </c>
      <c r="L45" s="67">
        <v>9</v>
      </c>
      <c r="M45" s="67">
        <v>7</v>
      </c>
      <c r="N45" s="31" t="s">
        <v>68</v>
      </c>
      <c r="O45" s="68">
        <v>6</v>
      </c>
      <c r="P45" s="68">
        <v>6</v>
      </c>
      <c r="Q45" s="67">
        <v>8</v>
      </c>
      <c r="R45" s="69" t="s">
        <v>59</v>
      </c>
      <c r="S45" s="405">
        <v>0.06</v>
      </c>
      <c r="T45" s="68">
        <v>7</v>
      </c>
      <c r="U45" s="69" t="s">
        <v>59</v>
      </c>
      <c r="V45" s="98" t="s">
        <v>68</v>
      </c>
      <c r="W45" s="68">
        <v>6</v>
      </c>
      <c r="X45" s="69" t="s">
        <v>59</v>
      </c>
      <c r="Y45" s="98" t="s">
        <v>140</v>
      </c>
      <c r="Z45" s="284">
        <f>(96.1+81.533)/2</f>
        <v>88.816499999999991</v>
      </c>
      <c r="AA45" s="98" t="s">
        <v>252</v>
      </c>
      <c r="AB45" s="202" t="s">
        <v>136</v>
      </c>
      <c r="AC45" s="202" t="s">
        <v>18</v>
      </c>
      <c r="AD45" s="312" t="s">
        <v>257</v>
      </c>
      <c r="AE45" s="32" t="s">
        <v>98</v>
      </c>
      <c r="AF45" s="58" t="s">
        <v>80</v>
      </c>
    </row>
    <row r="46" spans="1:32" ht="95" customHeight="1">
      <c r="A46" s="7">
        <v>30</v>
      </c>
      <c r="B46" s="33" t="s">
        <v>37</v>
      </c>
      <c r="C46" s="115" t="s">
        <v>524</v>
      </c>
      <c r="D46" s="46">
        <v>9</v>
      </c>
      <c r="E46" s="45">
        <v>10</v>
      </c>
      <c r="F46" s="35" t="s">
        <v>68</v>
      </c>
      <c r="G46" s="45">
        <v>9</v>
      </c>
      <c r="H46" s="45">
        <v>10</v>
      </c>
      <c r="I46" s="45">
        <v>10</v>
      </c>
      <c r="J46" s="45">
        <v>10</v>
      </c>
      <c r="K46" s="45">
        <v>10</v>
      </c>
      <c r="L46" s="45">
        <v>10</v>
      </c>
      <c r="M46" s="45">
        <v>10</v>
      </c>
      <c r="N46" s="48" t="s">
        <v>68</v>
      </c>
      <c r="O46" s="45">
        <v>10</v>
      </c>
      <c r="P46" s="45">
        <v>10</v>
      </c>
      <c r="Q46" s="45">
        <v>10</v>
      </c>
      <c r="R46" s="45">
        <v>10</v>
      </c>
      <c r="S46" s="404">
        <v>0</v>
      </c>
      <c r="T46" s="35" t="s">
        <v>68</v>
      </c>
      <c r="U46" s="35" t="s">
        <v>68</v>
      </c>
      <c r="V46" s="35" t="s">
        <v>68</v>
      </c>
      <c r="W46" s="35" t="s">
        <v>68</v>
      </c>
      <c r="X46" s="35" t="s">
        <v>68</v>
      </c>
      <c r="Y46" s="48" t="s">
        <v>135</v>
      </c>
      <c r="Z46" s="285">
        <f>(53.56+41.82)/2</f>
        <v>47.69</v>
      </c>
      <c r="AA46" s="48" t="s">
        <v>252</v>
      </c>
      <c r="AB46" s="129" t="s">
        <v>136</v>
      </c>
      <c r="AC46" s="204" t="s">
        <v>18</v>
      </c>
      <c r="AD46" s="311" t="s">
        <v>253</v>
      </c>
      <c r="AE46" s="37" t="s">
        <v>107</v>
      </c>
      <c r="AF46" s="278" t="s">
        <v>68</v>
      </c>
    </row>
    <row r="47" spans="1:32" ht="85" customHeight="1">
      <c r="A47" s="6">
        <v>31</v>
      </c>
      <c r="B47" s="33" t="s">
        <v>38</v>
      </c>
      <c r="C47" s="115" t="s">
        <v>525</v>
      </c>
      <c r="D47" s="46">
        <v>8</v>
      </c>
      <c r="E47" s="45">
        <v>8</v>
      </c>
      <c r="F47" s="35" t="s">
        <v>68</v>
      </c>
      <c r="G47" s="45">
        <v>10</v>
      </c>
      <c r="H47" s="45">
        <v>10</v>
      </c>
      <c r="I47" s="45">
        <v>10</v>
      </c>
      <c r="J47" s="45">
        <v>8</v>
      </c>
      <c r="K47" s="45">
        <v>10</v>
      </c>
      <c r="L47" s="45">
        <v>10</v>
      </c>
      <c r="M47" s="45">
        <v>8</v>
      </c>
      <c r="N47" s="35" t="s">
        <v>68</v>
      </c>
      <c r="O47" s="45">
        <v>10</v>
      </c>
      <c r="P47" s="45">
        <v>10</v>
      </c>
      <c r="Q47" s="45">
        <v>10</v>
      </c>
      <c r="R47" s="45">
        <v>9</v>
      </c>
      <c r="S47" s="404">
        <v>0.01</v>
      </c>
      <c r="T47" s="35" t="s">
        <v>68</v>
      </c>
      <c r="U47" s="35" t="s">
        <v>68</v>
      </c>
      <c r="V47" s="35" t="s">
        <v>68</v>
      </c>
      <c r="W47" s="35" t="s">
        <v>68</v>
      </c>
      <c r="X47" s="35" t="s">
        <v>68</v>
      </c>
      <c r="Y47" s="48" t="s">
        <v>135</v>
      </c>
      <c r="Z47" s="285">
        <f>(9.98+7.79)/2</f>
        <v>8.8849999999999998</v>
      </c>
      <c r="AA47" s="48" t="s">
        <v>252</v>
      </c>
      <c r="AB47" s="127" t="s">
        <v>133</v>
      </c>
      <c r="AC47" s="204" t="s">
        <v>18</v>
      </c>
      <c r="AD47" s="311" t="s">
        <v>253</v>
      </c>
      <c r="AE47" s="37" t="s">
        <v>108</v>
      </c>
      <c r="AF47" s="278" t="s">
        <v>68</v>
      </c>
    </row>
    <row r="48" spans="1:32" ht="87" customHeight="1">
      <c r="A48" s="7">
        <v>32</v>
      </c>
      <c r="B48" s="33" t="s">
        <v>39</v>
      </c>
      <c r="C48" s="115" t="s">
        <v>526</v>
      </c>
      <c r="D48" s="46">
        <v>8</v>
      </c>
      <c r="E48" s="45">
        <v>10</v>
      </c>
      <c r="F48" s="35" t="s">
        <v>68</v>
      </c>
      <c r="G48" s="45">
        <v>8</v>
      </c>
      <c r="H48" s="45">
        <v>10</v>
      </c>
      <c r="I48" s="47">
        <v>7</v>
      </c>
      <c r="J48" s="47">
        <v>7</v>
      </c>
      <c r="K48" s="45">
        <v>10</v>
      </c>
      <c r="L48" s="45">
        <v>9</v>
      </c>
      <c r="M48" s="47">
        <v>7</v>
      </c>
      <c r="N48" s="35" t="s">
        <v>68</v>
      </c>
      <c r="O48" s="47">
        <v>6</v>
      </c>
      <c r="P48" s="47">
        <v>6</v>
      </c>
      <c r="Q48" s="45">
        <v>10</v>
      </c>
      <c r="R48" s="47">
        <v>6</v>
      </c>
      <c r="S48" s="399">
        <v>0.19</v>
      </c>
      <c r="T48" s="47">
        <v>7</v>
      </c>
      <c r="U48" s="47">
        <v>6</v>
      </c>
      <c r="V48" s="35" t="s">
        <v>68</v>
      </c>
      <c r="W48" s="45">
        <v>8</v>
      </c>
      <c r="X48" s="47">
        <v>6</v>
      </c>
      <c r="Y48" s="48" t="s">
        <v>129</v>
      </c>
      <c r="Z48" s="285">
        <f>(5.67+4.39)/2</f>
        <v>5.0299999999999994</v>
      </c>
      <c r="AA48" s="48" t="s">
        <v>252</v>
      </c>
      <c r="AB48" s="129" t="s">
        <v>136</v>
      </c>
      <c r="AC48" s="204" t="s">
        <v>18</v>
      </c>
      <c r="AD48" s="311" t="s">
        <v>257</v>
      </c>
      <c r="AE48" s="37" t="s">
        <v>118</v>
      </c>
      <c r="AF48" s="278" t="s">
        <v>109</v>
      </c>
    </row>
    <row r="49" spans="1:32" ht="74" customHeight="1">
      <c r="A49" s="6">
        <v>33</v>
      </c>
      <c r="B49" s="33" t="s">
        <v>40</v>
      </c>
      <c r="C49" s="115" t="s">
        <v>527</v>
      </c>
      <c r="D49" s="46">
        <v>10</v>
      </c>
      <c r="E49" s="45">
        <v>10</v>
      </c>
      <c r="F49" s="35" t="s">
        <v>68</v>
      </c>
      <c r="G49" s="45">
        <v>10</v>
      </c>
      <c r="H49" s="45">
        <v>10</v>
      </c>
      <c r="I49" s="47">
        <v>7</v>
      </c>
      <c r="J49" s="45">
        <v>8</v>
      </c>
      <c r="K49" s="45">
        <v>10</v>
      </c>
      <c r="L49" s="45">
        <v>10</v>
      </c>
      <c r="M49" s="45">
        <v>8</v>
      </c>
      <c r="N49" s="35" t="s">
        <v>68</v>
      </c>
      <c r="O49" s="47">
        <v>6</v>
      </c>
      <c r="P49" s="47">
        <v>6</v>
      </c>
      <c r="Q49" s="45">
        <v>10</v>
      </c>
      <c r="R49" s="42" t="s">
        <v>59</v>
      </c>
      <c r="S49" s="399">
        <v>0.44</v>
      </c>
      <c r="T49" s="47">
        <v>7</v>
      </c>
      <c r="U49" s="42" t="s">
        <v>59</v>
      </c>
      <c r="V49" s="48" t="s">
        <v>68</v>
      </c>
      <c r="W49" s="45">
        <v>8</v>
      </c>
      <c r="X49" s="42" t="s">
        <v>59</v>
      </c>
      <c r="Y49" s="48" t="s">
        <v>140</v>
      </c>
      <c r="Z49" s="285">
        <f>(5.53+1.92)/2</f>
        <v>3.7250000000000001</v>
      </c>
      <c r="AA49" s="48" t="s">
        <v>252</v>
      </c>
      <c r="AB49" s="129" t="s">
        <v>136</v>
      </c>
      <c r="AC49" s="204" t="s">
        <v>18</v>
      </c>
      <c r="AD49" s="311" t="s">
        <v>253</v>
      </c>
      <c r="AE49" s="37" t="s">
        <v>110</v>
      </c>
      <c r="AF49" s="278" t="s">
        <v>68</v>
      </c>
    </row>
    <row r="50" spans="1:32" ht="56" customHeight="1" thickBot="1">
      <c r="A50" s="11">
        <v>34</v>
      </c>
      <c r="B50" s="54" t="s">
        <v>41</v>
      </c>
      <c r="C50" s="488" t="s">
        <v>1313</v>
      </c>
      <c r="D50" s="60">
        <v>7</v>
      </c>
      <c r="E50" s="61">
        <v>8</v>
      </c>
      <c r="F50" s="62" t="s">
        <v>68</v>
      </c>
      <c r="G50" s="61">
        <v>8</v>
      </c>
      <c r="H50" s="63">
        <v>7</v>
      </c>
      <c r="I50" s="63">
        <v>7</v>
      </c>
      <c r="J50" s="61">
        <v>8</v>
      </c>
      <c r="K50" s="61">
        <v>10</v>
      </c>
      <c r="L50" s="61">
        <v>9</v>
      </c>
      <c r="M50" s="61">
        <v>8</v>
      </c>
      <c r="N50" s="62" t="s">
        <v>68</v>
      </c>
      <c r="O50" s="63">
        <v>7</v>
      </c>
      <c r="P50" s="63">
        <v>7</v>
      </c>
      <c r="Q50" s="61">
        <v>8</v>
      </c>
      <c r="R50" s="63">
        <v>6</v>
      </c>
      <c r="S50" s="401">
        <v>0.13</v>
      </c>
      <c r="T50" s="63">
        <v>7</v>
      </c>
      <c r="U50" s="63">
        <v>6</v>
      </c>
      <c r="V50" s="65" t="s">
        <v>68</v>
      </c>
      <c r="W50" s="63">
        <v>6</v>
      </c>
      <c r="X50" s="63">
        <v>6</v>
      </c>
      <c r="Y50" s="65" t="s">
        <v>129</v>
      </c>
      <c r="Z50" s="290">
        <f>(2.36+2.49)/2</f>
        <v>2.4249999999999998</v>
      </c>
      <c r="AA50" s="65" t="s">
        <v>252</v>
      </c>
      <c r="AB50" s="205" t="s">
        <v>136</v>
      </c>
      <c r="AC50" s="205" t="s">
        <v>18</v>
      </c>
      <c r="AD50" s="318" t="s">
        <v>425</v>
      </c>
      <c r="AE50" s="476" t="s">
        <v>101</v>
      </c>
      <c r="AF50" s="89"/>
    </row>
    <row r="51" spans="1:32" ht="84" customHeight="1" thickBot="1">
      <c r="A51" s="392" t="s">
        <v>419</v>
      </c>
      <c r="B51" s="15" t="s">
        <v>10</v>
      </c>
      <c r="C51" s="149" t="s">
        <v>498</v>
      </c>
      <c r="D51" s="198"/>
      <c r="E51" s="96"/>
      <c r="F51" s="96"/>
      <c r="G51" s="96"/>
      <c r="H51" s="87"/>
      <c r="I51" s="198"/>
      <c r="J51" s="198"/>
      <c r="K51" s="96"/>
      <c r="L51" s="96"/>
      <c r="M51" s="96"/>
      <c r="N51" s="96"/>
      <c r="O51" s="198"/>
      <c r="P51" s="96"/>
      <c r="Q51" s="96"/>
      <c r="R51" s="198"/>
      <c r="S51" s="405">
        <v>0.05</v>
      </c>
      <c r="T51" s="96"/>
      <c r="U51" s="96"/>
      <c r="V51" s="87"/>
      <c r="W51" s="96"/>
      <c r="X51" s="96"/>
      <c r="Y51" s="98" t="s">
        <v>129</v>
      </c>
      <c r="Z51" s="284">
        <f>(2.07+0.621)/2</f>
        <v>1.3454999999999999</v>
      </c>
      <c r="AA51" s="98" t="s">
        <v>252</v>
      </c>
      <c r="AB51" s="202" t="s">
        <v>136</v>
      </c>
      <c r="AC51" s="316" t="s">
        <v>18</v>
      </c>
      <c r="AD51" s="312" t="s">
        <v>276</v>
      </c>
      <c r="AE51" s="32" t="s">
        <v>478</v>
      </c>
      <c r="AF51" s="83" t="s">
        <v>472</v>
      </c>
    </row>
    <row r="52" spans="1:32" ht="167" customHeight="1" thickBot="1">
      <c r="A52" s="11">
        <v>35</v>
      </c>
      <c r="B52" s="54" t="s">
        <v>42</v>
      </c>
      <c r="C52" s="488" t="s">
        <v>534</v>
      </c>
      <c r="D52" s="60">
        <v>7</v>
      </c>
      <c r="E52" s="61">
        <v>10</v>
      </c>
      <c r="F52" s="62" t="s">
        <v>68</v>
      </c>
      <c r="G52" s="61">
        <v>8</v>
      </c>
      <c r="H52" s="63">
        <v>7</v>
      </c>
      <c r="I52" s="63">
        <v>7</v>
      </c>
      <c r="J52" s="63">
        <v>7</v>
      </c>
      <c r="K52" s="63">
        <v>7</v>
      </c>
      <c r="L52" s="61">
        <v>9</v>
      </c>
      <c r="M52" s="61">
        <v>8</v>
      </c>
      <c r="N52" s="62" t="s">
        <v>68</v>
      </c>
      <c r="O52" s="63">
        <v>7.75</v>
      </c>
      <c r="P52" s="63">
        <v>7.75</v>
      </c>
      <c r="Q52" s="61">
        <v>8</v>
      </c>
      <c r="R52" s="61">
        <v>9</v>
      </c>
      <c r="S52" s="403">
        <v>0.02</v>
      </c>
      <c r="T52" s="62" t="s">
        <v>68</v>
      </c>
      <c r="U52" s="62" t="s">
        <v>68</v>
      </c>
      <c r="V52" s="62" t="s">
        <v>68</v>
      </c>
      <c r="W52" s="62" t="s">
        <v>68</v>
      </c>
      <c r="X52" s="62" t="s">
        <v>68</v>
      </c>
      <c r="Y52" s="65" t="s">
        <v>129</v>
      </c>
      <c r="Z52" s="290">
        <f>(0.01+0.72)/2</f>
        <v>0.36499999999999999</v>
      </c>
      <c r="AA52" s="65" t="s">
        <v>251</v>
      </c>
      <c r="AB52" s="205" t="s">
        <v>136</v>
      </c>
      <c r="AC52" s="205" t="s">
        <v>18</v>
      </c>
      <c r="AD52" s="318" t="s">
        <v>275</v>
      </c>
      <c r="AE52" s="66" t="s">
        <v>479</v>
      </c>
      <c r="AF52" s="279" t="s">
        <v>84</v>
      </c>
    </row>
    <row r="53" spans="1:32" ht="167" customHeight="1">
      <c r="A53" s="394" t="s">
        <v>419</v>
      </c>
      <c r="B53" s="90" t="s">
        <v>11</v>
      </c>
      <c r="C53" s="303" t="s">
        <v>533</v>
      </c>
      <c r="D53" s="91">
        <v>6</v>
      </c>
      <c r="E53" s="44">
        <v>7</v>
      </c>
      <c r="F53" s="44">
        <v>7</v>
      </c>
      <c r="G53" s="91">
        <v>6</v>
      </c>
      <c r="H53" s="44">
        <v>6</v>
      </c>
      <c r="I53" s="93">
        <v>7</v>
      </c>
      <c r="J53" s="106" t="s">
        <v>59</v>
      </c>
      <c r="K53" s="106" t="s">
        <v>59</v>
      </c>
      <c r="L53" s="43">
        <v>9</v>
      </c>
      <c r="M53" s="43">
        <v>8</v>
      </c>
      <c r="N53" s="39" t="s">
        <v>59</v>
      </c>
      <c r="O53" s="93">
        <v>6</v>
      </c>
      <c r="P53" s="44">
        <v>6</v>
      </c>
      <c r="Q53" s="92">
        <v>10</v>
      </c>
      <c r="R53" s="92">
        <v>9</v>
      </c>
      <c r="S53" s="92" t="s">
        <v>158</v>
      </c>
      <c r="T53" s="94" t="s">
        <v>68</v>
      </c>
      <c r="U53" s="94" t="s">
        <v>68</v>
      </c>
      <c r="V53" s="94" t="s">
        <v>68</v>
      </c>
      <c r="W53" s="94" t="s">
        <v>68</v>
      </c>
      <c r="X53" s="94" t="s">
        <v>68</v>
      </c>
      <c r="Y53" s="142" t="s">
        <v>140</v>
      </c>
      <c r="Z53" s="293">
        <f>(44.05+50.94)/2</f>
        <v>47.494999999999997</v>
      </c>
      <c r="AA53" s="142" t="s">
        <v>252</v>
      </c>
      <c r="AB53" s="206" t="s">
        <v>152</v>
      </c>
      <c r="AC53" s="206" t="s">
        <v>18</v>
      </c>
      <c r="AD53" s="320" t="s">
        <v>273</v>
      </c>
      <c r="AE53" s="95" t="s">
        <v>111</v>
      </c>
      <c r="AF53" s="280" t="s">
        <v>112</v>
      </c>
    </row>
    <row r="54" spans="1:32" ht="123" customHeight="1">
      <c r="A54" s="7">
        <v>36</v>
      </c>
      <c r="B54" s="33" t="s">
        <v>45</v>
      </c>
      <c r="C54" s="115" t="s">
        <v>532</v>
      </c>
      <c r="D54" s="51">
        <v>7</v>
      </c>
      <c r="E54" s="45">
        <v>8</v>
      </c>
      <c r="F54" s="35" t="s">
        <v>68</v>
      </c>
      <c r="G54" s="45">
        <v>8</v>
      </c>
      <c r="H54" s="47">
        <v>7</v>
      </c>
      <c r="I54" s="47">
        <v>7</v>
      </c>
      <c r="J54" s="47">
        <v>6</v>
      </c>
      <c r="K54" s="47">
        <v>6</v>
      </c>
      <c r="L54" s="45">
        <v>9</v>
      </c>
      <c r="M54" s="45">
        <v>8</v>
      </c>
      <c r="N54" s="35" t="s">
        <v>68</v>
      </c>
      <c r="O54" s="47">
        <v>6</v>
      </c>
      <c r="P54" s="47">
        <v>6</v>
      </c>
      <c r="Q54" s="45">
        <v>10</v>
      </c>
      <c r="R54" s="45">
        <v>10</v>
      </c>
      <c r="S54" s="404">
        <v>0</v>
      </c>
      <c r="T54" s="35" t="s">
        <v>68</v>
      </c>
      <c r="U54" s="35" t="s">
        <v>68</v>
      </c>
      <c r="V54" s="35" t="s">
        <v>68</v>
      </c>
      <c r="W54" s="35" t="s">
        <v>68</v>
      </c>
      <c r="X54" s="35" t="s">
        <v>68</v>
      </c>
      <c r="Y54" s="48" t="s">
        <v>129</v>
      </c>
      <c r="Z54" s="285">
        <f>(13.18+17.24)/2</f>
        <v>15.209999999999999</v>
      </c>
      <c r="AA54" s="48" t="s">
        <v>252</v>
      </c>
      <c r="AB54" s="204" t="s">
        <v>152</v>
      </c>
      <c r="AC54" s="204" t="s">
        <v>18</v>
      </c>
      <c r="AD54" s="204" t="s">
        <v>55</v>
      </c>
      <c r="AE54" s="37" t="s">
        <v>113</v>
      </c>
      <c r="AF54" s="278" t="s">
        <v>68</v>
      </c>
    </row>
    <row r="55" spans="1:32" ht="100" customHeight="1">
      <c r="A55" s="6">
        <v>37</v>
      </c>
      <c r="B55" s="33" t="s">
        <v>46</v>
      </c>
      <c r="C55" s="115" t="s">
        <v>531</v>
      </c>
      <c r="D55" s="46">
        <v>10</v>
      </c>
      <c r="E55" s="45">
        <v>10</v>
      </c>
      <c r="F55" s="35" t="s">
        <v>68</v>
      </c>
      <c r="G55" s="45">
        <v>10</v>
      </c>
      <c r="H55" s="45">
        <v>10</v>
      </c>
      <c r="I55" s="47">
        <v>7</v>
      </c>
      <c r="J55" s="47">
        <v>6</v>
      </c>
      <c r="K55" s="47">
        <v>6</v>
      </c>
      <c r="L55" s="45">
        <v>9</v>
      </c>
      <c r="M55" s="45">
        <v>9</v>
      </c>
      <c r="N55" s="35" t="s">
        <v>68</v>
      </c>
      <c r="O55" s="45">
        <v>10</v>
      </c>
      <c r="P55" s="45">
        <v>10</v>
      </c>
      <c r="Q55" s="45">
        <v>10</v>
      </c>
      <c r="R55" s="45">
        <v>10</v>
      </c>
      <c r="S55" s="404">
        <v>0</v>
      </c>
      <c r="T55" s="35" t="s">
        <v>68</v>
      </c>
      <c r="U55" s="35" t="s">
        <v>68</v>
      </c>
      <c r="V55" s="35" t="s">
        <v>68</v>
      </c>
      <c r="W55" s="35" t="s">
        <v>68</v>
      </c>
      <c r="X55" s="35" t="s">
        <v>68</v>
      </c>
      <c r="Y55" s="48" t="s">
        <v>129</v>
      </c>
      <c r="Z55" s="285">
        <f>(26.94+29.72)/2</f>
        <v>28.33</v>
      </c>
      <c r="AA55" s="48" t="s">
        <v>252</v>
      </c>
      <c r="AB55" s="204" t="s">
        <v>152</v>
      </c>
      <c r="AC55" s="204" t="s">
        <v>18</v>
      </c>
      <c r="AD55" s="311" t="s">
        <v>269</v>
      </c>
      <c r="AE55" s="37" t="s">
        <v>114</v>
      </c>
      <c r="AF55" s="278" t="s">
        <v>68</v>
      </c>
    </row>
    <row r="56" spans="1:32" ht="135" customHeight="1">
      <c r="A56" s="7">
        <v>38</v>
      </c>
      <c r="B56" s="33" t="s">
        <v>43</v>
      </c>
      <c r="C56" s="115" t="s">
        <v>530</v>
      </c>
      <c r="D56" s="51">
        <v>6</v>
      </c>
      <c r="E56" s="47">
        <v>7</v>
      </c>
      <c r="F56" s="47">
        <v>7</v>
      </c>
      <c r="G56" s="47">
        <v>7</v>
      </c>
      <c r="H56" s="47">
        <v>6</v>
      </c>
      <c r="I56" s="47">
        <v>7</v>
      </c>
      <c r="J56" s="42" t="s">
        <v>59</v>
      </c>
      <c r="K56" s="45">
        <v>8</v>
      </c>
      <c r="L56" s="45">
        <v>10</v>
      </c>
      <c r="M56" s="45">
        <v>8</v>
      </c>
      <c r="N56" s="42" t="s">
        <v>59</v>
      </c>
      <c r="O56" s="47">
        <v>7</v>
      </c>
      <c r="P56" s="47">
        <v>7</v>
      </c>
      <c r="Q56" s="45">
        <v>10</v>
      </c>
      <c r="R56" s="45">
        <v>9</v>
      </c>
      <c r="S56" s="45" t="s">
        <v>158</v>
      </c>
      <c r="T56" s="35" t="s">
        <v>68</v>
      </c>
      <c r="U56" s="35" t="s">
        <v>68</v>
      </c>
      <c r="V56" s="35" t="s">
        <v>68</v>
      </c>
      <c r="W56" s="35" t="s">
        <v>68</v>
      </c>
      <c r="X56" s="35" t="s">
        <v>68</v>
      </c>
      <c r="Y56" s="48" t="s">
        <v>140</v>
      </c>
      <c r="Z56" s="285">
        <f>(2.17+2.16)/2</f>
        <v>2.165</v>
      </c>
      <c r="AA56" s="48" t="s">
        <v>252</v>
      </c>
      <c r="AB56" s="129" t="s">
        <v>136</v>
      </c>
      <c r="AC56" s="204" t="s">
        <v>18</v>
      </c>
      <c r="AD56" s="204" t="s">
        <v>55</v>
      </c>
      <c r="AE56" s="37" t="s">
        <v>115</v>
      </c>
      <c r="AF56" s="278" t="s">
        <v>68</v>
      </c>
    </row>
    <row r="57" spans="1:32" ht="125" customHeight="1">
      <c r="A57" s="6">
        <v>39</v>
      </c>
      <c r="B57" s="33" t="s">
        <v>44</v>
      </c>
      <c r="C57" s="115" t="s">
        <v>529</v>
      </c>
      <c r="D57" s="51">
        <v>6</v>
      </c>
      <c r="E57" s="47">
        <v>7</v>
      </c>
      <c r="F57" s="47">
        <v>7</v>
      </c>
      <c r="G57" s="45">
        <v>10</v>
      </c>
      <c r="H57" s="47">
        <v>6</v>
      </c>
      <c r="I57" s="47">
        <v>7</v>
      </c>
      <c r="J57" s="42" t="s">
        <v>59</v>
      </c>
      <c r="K57" s="45">
        <v>8</v>
      </c>
      <c r="L57" s="45">
        <v>10</v>
      </c>
      <c r="M57" s="45">
        <v>8</v>
      </c>
      <c r="N57" s="42" t="s">
        <v>59</v>
      </c>
      <c r="O57" s="47">
        <v>7</v>
      </c>
      <c r="P57" s="47">
        <v>7</v>
      </c>
      <c r="Q57" s="45">
        <v>10</v>
      </c>
      <c r="R57" s="45">
        <v>9</v>
      </c>
      <c r="S57" s="45" t="s">
        <v>158</v>
      </c>
      <c r="T57" s="35" t="s">
        <v>68</v>
      </c>
      <c r="U57" s="35" t="s">
        <v>68</v>
      </c>
      <c r="V57" s="35" t="s">
        <v>68</v>
      </c>
      <c r="W57" s="35" t="s">
        <v>68</v>
      </c>
      <c r="X57" s="35" t="s">
        <v>68</v>
      </c>
      <c r="Y57" s="48" t="s">
        <v>140</v>
      </c>
      <c r="Z57" s="285">
        <f>(6.24+6.81)/2</f>
        <v>6.5250000000000004</v>
      </c>
      <c r="AA57" s="48" t="s">
        <v>252</v>
      </c>
      <c r="AB57" s="129" t="s">
        <v>136</v>
      </c>
      <c r="AC57" s="204" t="s">
        <v>18</v>
      </c>
      <c r="AD57" s="204" t="s">
        <v>55</v>
      </c>
      <c r="AE57" s="37" t="s">
        <v>116</v>
      </c>
      <c r="AF57" s="278" t="s">
        <v>68</v>
      </c>
    </row>
    <row r="58" spans="1:32" ht="109" customHeight="1" thickBot="1">
      <c r="A58" s="8">
        <v>40</v>
      </c>
      <c r="B58" s="54" t="s">
        <v>47</v>
      </c>
      <c r="C58" s="488" t="s">
        <v>528</v>
      </c>
      <c r="D58" s="60">
        <v>6</v>
      </c>
      <c r="E58" s="61">
        <v>8</v>
      </c>
      <c r="F58" s="62" t="s">
        <v>68</v>
      </c>
      <c r="G58" s="63">
        <v>6</v>
      </c>
      <c r="H58" s="63">
        <v>7</v>
      </c>
      <c r="I58" s="63">
        <v>7</v>
      </c>
      <c r="J58" s="64" t="s">
        <v>59</v>
      </c>
      <c r="K58" s="64" t="s">
        <v>59</v>
      </c>
      <c r="L58" s="61">
        <v>9</v>
      </c>
      <c r="M58" s="61">
        <v>8</v>
      </c>
      <c r="N58" s="62" t="s">
        <v>68</v>
      </c>
      <c r="O58" s="63">
        <v>6</v>
      </c>
      <c r="P58" s="63">
        <v>6</v>
      </c>
      <c r="Q58" s="61">
        <v>10</v>
      </c>
      <c r="R58" s="61">
        <v>9</v>
      </c>
      <c r="S58" s="403">
        <v>0.04</v>
      </c>
      <c r="T58" s="62" t="s">
        <v>68</v>
      </c>
      <c r="U58" s="62" t="s">
        <v>68</v>
      </c>
      <c r="V58" s="62" t="s">
        <v>68</v>
      </c>
      <c r="W58" s="62" t="s">
        <v>68</v>
      </c>
      <c r="X58" s="62" t="s">
        <v>68</v>
      </c>
      <c r="Y58" s="65" t="s">
        <v>140</v>
      </c>
      <c r="Z58" s="290">
        <f>(2.69+2.43)/2</f>
        <v>2.56</v>
      </c>
      <c r="AA58" s="65" t="s">
        <v>252</v>
      </c>
      <c r="AB58" s="205" t="s">
        <v>152</v>
      </c>
      <c r="AC58" s="318" t="s">
        <v>469</v>
      </c>
      <c r="AD58" s="318" t="s">
        <v>389</v>
      </c>
      <c r="AE58" s="66" t="s">
        <v>117</v>
      </c>
      <c r="AF58" s="279" t="s">
        <v>68</v>
      </c>
    </row>
    <row r="59" spans="1:32" ht="18">
      <c r="A59" s="471" t="s">
        <v>475</v>
      </c>
    </row>
    <row r="60" spans="1:32">
      <c r="D60" s="27"/>
      <c r="E60" s="20"/>
      <c r="F60" s="20"/>
      <c r="G60" s="20"/>
      <c r="H60" s="26"/>
      <c r="I60" s="20"/>
      <c r="J60" s="20"/>
      <c r="K60" s="20"/>
      <c r="L60" s="20"/>
      <c r="M60" s="20"/>
      <c r="N60" s="20"/>
      <c r="O60" s="20"/>
      <c r="P60" s="20"/>
      <c r="Q60" s="20"/>
      <c r="R60" s="20"/>
      <c r="S60" s="26"/>
      <c r="T60" s="20"/>
      <c r="U60" s="20"/>
      <c r="V60" s="20"/>
      <c r="W60" s="20"/>
      <c r="X60" s="20"/>
      <c r="Y60" s="26"/>
      <c r="Z60" s="26"/>
      <c r="AA60" s="26"/>
      <c r="AB60" s="26"/>
      <c r="AC60" s="26"/>
      <c r="AD60" s="26"/>
    </row>
    <row r="61" spans="1:32">
      <c r="S61" s="26"/>
      <c r="T61" s="20"/>
      <c r="U61" s="20"/>
      <c r="V61" s="20"/>
      <c r="W61" s="20"/>
      <c r="X61" s="20"/>
      <c r="Y61" s="26"/>
      <c r="Z61" s="26"/>
      <c r="AA61" s="26"/>
      <c r="AB61" s="26"/>
      <c r="AC61" s="26"/>
      <c r="AD61" s="26"/>
    </row>
    <row r="62" spans="1:32">
      <c r="D62" s="9"/>
      <c r="E62" s="20"/>
      <c r="F62" s="20"/>
      <c r="G62" s="20"/>
      <c r="H62" s="26"/>
      <c r="I62" s="20"/>
      <c r="J62" s="20"/>
      <c r="K62" s="20"/>
      <c r="L62" s="20"/>
      <c r="M62" s="20"/>
      <c r="N62" s="20"/>
      <c r="O62" s="20"/>
      <c r="P62" s="20"/>
      <c r="Q62" s="20"/>
      <c r="R62" s="20"/>
      <c r="S62" s="26"/>
      <c r="T62" s="20"/>
      <c r="U62" s="20"/>
      <c r="V62" s="20"/>
      <c r="W62" s="20"/>
      <c r="X62" s="20"/>
      <c r="Y62" s="26"/>
      <c r="Z62" s="26"/>
      <c r="AA62" s="26"/>
      <c r="AB62" s="26"/>
      <c r="AC62" s="26"/>
      <c r="AD62" s="26"/>
    </row>
    <row r="63" spans="1:32">
      <c r="E63" s="22"/>
      <c r="F63" s="22"/>
      <c r="G63" s="22"/>
      <c r="H63" s="23"/>
      <c r="I63" s="19"/>
      <c r="J63" s="19"/>
      <c r="K63" s="22"/>
      <c r="L63" s="22"/>
      <c r="M63" s="22"/>
      <c r="N63" s="22"/>
      <c r="O63" s="19"/>
      <c r="P63" s="22"/>
      <c r="Q63" s="22"/>
      <c r="R63" s="19"/>
      <c r="S63" s="23"/>
      <c r="T63" s="22"/>
      <c r="U63" s="22"/>
      <c r="V63" s="22"/>
      <c r="W63" s="22"/>
      <c r="X63" s="22"/>
      <c r="Y63" s="23"/>
      <c r="Z63" s="23"/>
      <c r="AA63" s="23"/>
      <c r="AB63" s="23"/>
      <c r="AC63" s="23"/>
      <c r="AD63" s="23"/>
    </row>
    <row r="64" spans="1:32">
      <c r="E64" s="22"/>
      <c r="F64" s="22"/>
      <c r="G64" s="22"/>
      <c r="H64" s="23"/>
      <c r="I64" s="19"/>
      <c r="J64" s="19"/>
      <c r="K64" s="22"/>
      <c r="L64" s="22"/>
      <c r="M64" s="22"/>
      <c r="N64" s="22"/>
      <c r="O64" s="19"/>
      <c r="P64" s="22"/>
      <c r="Q64" s="22"/>
      <c r="R64" s="19"/>
      <c r="S64" s="23"/>
      <c r="T64" s="22"/>
      <c r="U64" s="22"/>
      <c r="V64" s="22"/>
      <c r="W64" s="22"/>
      <c r="X64" s="22"/>
      <c r="Y64" s="23"/>
      <c r="Z64" s="23"/>
      <c r="AA64" s="23"/>
      <c r="AB64" s="23"/>
      <c r="AC64" s="23"/>
      <c r="AD64" s="23"/>
    </row>
    <row r="65" spans="5:30">
      <c r="E65" s="22"/>
      <c r="F65" s="22"/>
      <c r="G65" s="22"/>
      <c r="H65" s="23"/>
      <c r="I65" s="19"/>
      <c r="J65" s="19"/>
      <c r="K65" s="22"/>
      <c r="L65" s="22"/>
      <c r="M65" s="22"/>
      <c r="N65" s="22"/>
      <c r="O65" s="19"/>
      <c r="P65" s="22"/>
      <c r="Q65" s="22"/>
      <c r="R65" s="19"/>
      <c r="S65" s="23"/>
      <c r="T65" s="22"/>
      <c r="U65" s="22"/>
      <c r="V65" s="22"/>
      <c r="W65" s="22"/>
      <c r="X65" s="22"/>
      <c r="Y65" s="23"/>
      <c r="Z65" s="23"/>
      <c r="AA65" s="23"/>
      <c r="AB65" s="23"/>
      <c r="AC65" s="23"/>
      <c r="AD65" s="23"/>
    </row>
    <row r="66" spans="5:30">
      <c r="E66" s="22"/>
      <c r="F66" s="22"/>
      <c r="G66" s="22"/>
      <c r="H66" s="23"/>
      <c r="I66" s="19"/>
      <c r="J66" s="19"/>
      <c r="K66" s="22"/>
      <c r="L66" s="22"/>
      <c r="M66" s="22"/>
      <c r="N66" s="22"/>
      <c r="O66" s="19"/>
      <c r="P66" s="22"/>
      <c r="Q66" s="22"/>
      <c r="R66" s="19"/>
      <c r="S66" s="23"/>
      <c r="T66" s="22"/>
      <c r="U66" s="22"/>
      <c r="V66" s="22"/>
      <c r="W66" s="22"/>
      <c r="X66" s="22"/>
      <c r="Y66" s="23"/>
      <c r="Z66" s="23"/>
      <c r="AA66" s="23"/>
      <c r="AB66" s="23"/>
      <c r="AC66" s="23"/>
      <c r="AD66" s="23"/>
    </row>
    <row r="67" spans="5:30">
      <c r="E67" s="22"/>
      <c r="F67" s="22"/>
      <c r="G67" s="22"/>
      <c r="H67" s="23"/>
      <c r="I67" s="19"/>
      <c r="J67" s="19"/>
      <c r="K67" s="22"/>
      <c r="L67" s="22"/>
      <c r="M67" s="22"/>
      <c r="N67" s="22"/>
      <c r="O67" s="19"/>
      <c r="P67" s="22"/>
      <c r="Q67" s="22"/>
      <c r="R67" s="19"/>
      <c r="S67" s="23"/>
      <c r="T67" s="22"/>
      <c r="U67" s="22"/>
      <c r="V67" s="22"/>
      <c r="W67" s="22"/>
      <c r="X67" s="22"/>
      <c r="Y67" s="23"/>
      <c r="Z67" s="23"/>
      <c r="AA67" s="23"/>
      <c r="AB67" s="23"/>
      <c r="AC67" s="23"/>
      <c r="AD67" s="23"/>
    </row>
    <row r="68" spans="5:30">
      <c r="E68" s="22"/>
      <c r="F68" s="22"/>
      <c r="G68" s="22"/>
      <c r="H68" s="23"/>
      <c r="I68" s="19"/>
      <c r="J68" s="19"/>
      <c r="K68" s="22"/>
      <c r="L68" s="22"/>
      <c r="M68" s="22"/>
      <c r="N68" s="22"/>
      <c r="O68" s="19"/>
      <c r="P68" s="22"/>
      <c r="Q68" s="22"/>
      <c r="R68" s="19"/>
      <c r="S68" s="23"/>
      <c r="T68" s="22"/>
      <c r="U68" s="22"/>
      <c r="V68" s="22"/>
      <c r="W68" s="22"/>
      <c r="X68" s="22"/>
      <c r="Y68" s="23"/>
      <c r="Z68" s="23"/>
      <c r="AA68" s="23"/>
      <c r="AB68" s="23"/>
      <c r="AC68" s="23"/>
      <c r="AD68" s="23"/>
    </row>
    <row r="69" spans="5:30">
      <c r="E69" s="22"/>
      <c r="F69" s="22"/>
      <c r="G69" s="22"/>
      <c r="H69" s="23"/>
      <c r="I69" s="19"/>
      <c r="J69" s="19"/>
      <c r="K69" s="22"/>
      <c r="L69" s="22"/>
      <c r="M69" s="22"/>
      <c r="N69" s="22"/>
      <c r="O69" s="19"/>
      <c r="P69" s="22"/>
      <c r="Q69" s="22"/>
      <c r="R69" s="19"/>
      <c r="S69" s="23"/>
      <c r="T69" s="22"/>
      <c r="U69" s="22"/>
      <c r="V69" s="22"/>
      <c r="W69" s="22"/>
      <c r="X69" s="22"/>
      <c r="Y69" s="23"/>
      <c r="Z69" s="23"/>
      <c r="AA69" s="23"/>
      <c r="AB69" s="23"/>
      <c r="AC69" s="23"/>
      <c r="AD69" s="23"/>
    </row>
    <row r="70" spans="5:30">
      <c r="E70" s="22"/>
      <c r="F70" s="22"/>
      <c r="G70" s="22"/>
      <c r="H70" s="23"/>
      <c r="I70" s="19"/>
      <c r="J70" s="19"/>
      <c r="K70" s="22"/>
      <c r="L70" s="22"/>
      <c r="M70" s="22"/>
      <c r="N70" s="22"/>
      <c r="O70" s="19"/>
      <c r="P70" s="22"/>
      <c r="Q70" s="22"/>
      <c r="R70" s="19"/>
      <c r="S70" s="23"/>
      <c r="T70" s="22"/>
      <c r="U70" s="22"/>
      <c r="V70" s="22"/>
      <c r="W70" s="22"/>
      <c r="X70" s="22"/>
      <c r="Y70" s="23"/>
      <c r="Z70" s="23"/>
      <c r="AA70" s="23"/>
      <c r="AB70" s="23"/>
      <c r="AC70" s="23"/>
      <c r="AD70" s="23"/>
    </row>
    <row r="71" spans="5:30">
      <c r="E71" s="22"/>
      <c r="F71" s="22"/>
      <c r="G71" s="22"/>
      <c r="H71" s="23"/>
      <c r="I71" s="19"/>
      <c r="J71" s="19"/>
      <c r="K71" s="22"/>
      <c r="L71" s="22"/>
      <c r="M71" s="22"/>
      <c r="N71" s="22"/>
      <c r="O71" s="19"/>
      <c r="P71" s="22"/>
      <c r="Q71" s="22"/>
      <c r="R71" s="19"/>
      <c r="S71" s="23"/>
      <c r="T71" s="22"/>
      <c r="U71" s="22"/>
      <c r="V71" s="22"/>
      <c r="W71" s="22"/>
      <c r="X71" s="22"/>
      <c r="Y71" s="23"/>
      <c r="Z71" s="23"/>
      <c r="AA71" s="23"/>
      <c r="AB71" s="23"/>
      <c r="AC71" s="23"/>
      <c r="AD71" s="23"/>
    </row>
    <row r="72" spans="5:30">
      <c r="E72" s="22"/>
      <c r="F72" s="22"/>
      <c r="G72" s="22"/>
      <c r="H72" s="23"/>
      <c r="I72" s="19"/>
      <c r="J72" s="19"/>
      <c r="K72" s="22"/>
      <c r="L72" s="22"/>
      <c r="M72" s="22"/>
      <c r="N72" s="22"/>
      <c r="O72" s="19"/>
      <c r="P72" s="22"/>
      <c r="Q72" s="22"/>
      <c r="R72" s="19"/>
      <c r="S72" s="23"/>
      <c r="T72" s="22"/>
      <c r="U72" s="22"/>
      <c r="V72" s="22"/>
      <c r="W72" s="22"/>
      <c r="X72" s="22"/>
      <c r="Y72" s="23"/>
      <c r="Z72" s="23"/>
      <c r="AA72" s="23"/>
      <c r="AB72" s="23"/>
      <c r="AC72" s="23"/>
      <c r="AD72" s="23"/>
    </row>
    <row r="73" spans="5:30">
      <c r="E73" s="22"/>
      <c r="F73" s="22"/>
      <c r="G73" s="22"/>
      <c r="H73" s="23"/>
      <c r="I73" s="19"/>
      <c r="J73" s="19"/>
      <c r="K73" s="22"/>
      <c r="L73" s="22"/>
      <c r="M73" s="22"/>
      <c r="N73" s="22"/>
      <c r="O73" s="19"/>
      <c r="P73" s="22"/>
      <c r="Q73" s="22"/>
      <c r="R73" s="19"/>
      <c r="S73" s="23"/>
      <c r="T73" s="22"/>
      <c r="U73" s="22"/>
      <c r="V73" s="22"/>
      <c r="W73" s="22"/>
      <c r="X73" s="22"/>
      <c r="Y73" s="23"/>
      <c r="Z73" s="23"/>
      <c r="AA73" s="23"/>
      <c r="AB73" s="23"/>
      <c r="AC73" s="23"/>
      <c r="AD73" s="23"/>
    </row>
    <row r="74" spans="5:30">
      <c r="E74" s="22"/>
      <c r="F74" s="22"/>
      <c r="G74" s="22"/>
      <c r="H74" s="23"/>
      <c r="I74" s="19"/>
      <c r="J74" s="19"/>
      <c r="K74" s="22"/>
      <c r="L74" s="22"/>
      <c r="M74" s="22"/>
      <c r="N74" s="22"/>
      <c r="O74" s="19"/>
      <c r="P74" s="22"/>
      <c r="Q74" s="22"/>
      <c r="R74" s="19"/>
      <c r="S74" s="23"/>
      <c r="T74" s="22"/>
      <c r="U74" s="22"/>
      <c r="V74" s="22"/>
      <c r="W74" s="22"/>
      <c r="X74" s="22"/>
      <c r="Y74" s="23"/>
      <c r="Z74" s="23"/>
      <c r="AA74" s="23"/>
      <c r="AB74" s="23"/>
      <c r="AC74" s="23"/>
      <c r="AD74" s="23"/>
    </row>
    <row r="75" spans="5:30">
      <c r="E75" s="22"/>
      <c r="F75" s="22"/>
      <c r="G75" s="22"/>
      <c r="H75" s="23"/>
      <c r="I75" s="19"/>
      <c r="J75" s="19"/>
      <c r="K75" s="22"/>
      <c r="L75" s="22"/>
      <c r="M75" s="22"/>
      <c r="N75" s="22"/>
      <c r="O75" s="19"/>
      <c r="P75" s="22"/>
      <c r="Q75" s="22"/>
      <c r="R75" s="19"/>
      <c r="S75" s="23"/>
      <c r="T75" s="22"/>
      <c r="U75" s="22"/>
      <c r="V75" s="22"/>
      <c r="W75" s="22"/>
      <c r="X75" s="22"/>
      <c r="Y75" s="23"/>
      <c r="Z75" s="23"/>
      <c r="AA75" s="23"/>
      <c r="AB75" s="23"/>
      <c r="AC75" s="23"/>
      <c r="AD75" s="23"/>
    </row>
    <row r="76" spans="5:30">
      <c r="E76" s="22"/>
      <c r="F76" s="22"/>
      <c r="G76" s="22"/>
      <c r="H76" s="23"/>
      <c r="I76" s="19"/>
      <c r="J76" s="19"/>
      <c r="K76" s="22"/>
      <c r="L76" s="22"/>
      <c r="M76" s="22"/>
      <c r="N76" s="22"/>
      <c r="O76" s="19"/>
      <c r="P76" s="22"/>
      <c r="Q76" s="22"/>
      <c r="R76" s="19"/>
      <c r="S76" s="23"/>
      <c r="T76" s="22"/>
      <c r="U76" s="22"/>
      <c r="V76" s="22"/>
      <c r="W76" s="22"/>
      <c r="X76" s="22"/>
      <c r="Y76" s="23"/>
      <c r="Z76" s="23"/>
      <c r="AA76" s="23"/>
      <c r="AB76" s="23"/>
      <c r="AC76" s="23"/>
      <c r="AD76" s="23"/>
    </row>
    <row r="77" spans="5:30">
      <c r="E77" s="22"/>
      <c r="F77" s="22"/>
      <c r="G77" s="22"/>
      <c r="H77" s="23"/>
      <c r="I77" s="19"/>
      <c r="J77" s="19"/>
      <c r="K77" s="22"/>
      <c r="L77" s="22"/>
      <c r="M77" s="22"/>
      <c r="N77" s="22"/>
      <c r="O77" s="19"/>
      <c r="P77" s="22"/>
      <c r="Q77" s="22"/>
      <c r="R77" s="19"/>
      <c r="S77" s="23"/>
      <c r="T77" s="22"/>
      <c r="U77" s="22"/>
      <c r="V77" s="22"/>
      <c r="W77" s="22"/>
      <c r="X77" s="22"/>
      <c r="Y77" s="23"/>
      <c r="Z77" s="23"/>
      <c r="AA77" s="23"/>
      <c r="AB77" s="23"/>
      <c r="AC77" s="23"/>
      <c r="AD77" s="23"/>
    </row>
    <row r="78" spans="5:30">
      <c r="E78" s="22"/>
      <c r="F78" s="22"/>
      <c r="G78" s="22"/>
      <c r="H78" s="23"/>
      <c r="I78" s="19"/>
      <c r="J78" s="19"/>
      <c r="K78" s="22"/>
      <c r="L78" s="22"/>
      <c r="M78" s="22"/>
      <c r="N78" s="22"/>
      <c r="O78" s="19"/>
      <c r="P78" s="22"/>
      <c r="Q78" s="22"/>
      <c r="R78" s="19"/>
      <c r="S78" s="23"/>
      <c r="T78" s="22"/>
      <c r="U78" s="22"/>
      <c r="V78" s="22"/>
      <c r="W78" s="22"/>
      <c r="X78" s="22"/>
      <c r="Y78" s="23"/>
      <c r="Z78" s="23"/>
      <c r="AA78" s="23"/>
      <c r="AB78" s="23"/>
      <c r="AC78" s="23"/>
      <c r="AD78" s="23"/>
    </row>
  </sheetData>
  <autoFilter ref="A5:AD58"/>
  <hyperlinks>
    <hyperlink ref="B6" r:id="rId1"/>
    <hyperlink ref="B7" r:id="rId2"/>
    <hyperlink ref="B8" r:id="rId3"/>
    <hyperlink ref="B9" r:id="rId4"/>
    <hyperlink ref="B10" r:id="rId5"/>
    <hyperlink ref="B13" r:id="rId6"/>
    <hyperlink ref="B12" r:id="rId7"/>
    <hyperlink ref="B11" r:id="rId8"/>
    <hyperlink ref="B15" r:id="rId9"/>
    <hyperlink ref="B18" r:id="rId10"/>
    <hyperlink ref="B16" r:id="rId11"/>
    <hyperlink ref="B17" r:id="rId12"/>
    <hyperlink ref="B19" r:id="rId13"/>
    <hyperlink ref="B24" r:id="rId14"/>
    <hyperlink ref="B28" r:id="rId15"/>
    <hyperlink ref="B29" r:id="rId16"/>
    <hyperlink ref="B30" r:id="rId17"/>
    <hyperlink ref="B31" r:id="rId18"/>
    <hyperlink ref="B32" r:id="rId19"/>
    <hyperlink ref="B36" r:id="rId20"/>
    <hyperlink ref="B39" r:id="rId21"/>
    <hyperlink ref="B40" r:id="rId22"/>
    <hyperlink ref="B44" r:id="rId23"/>
    <hyperlink ref="B45" r:id="rId24"/>
    <hyperlink ref="B46" r:id="rId25"/>
    <hyperlink ref="B47" r:id="rId26"/>
    <hyperlink ref="B48" r:id="rId27"/>
    <hyperlink ref="B49" r:id="rId28"/>
    <hyperlink ref="B52" r:id="rId29"/>
    <hyperlink ref="B53" r:id="rId30"/>
    <hyperlink ref="B54" r:id="rId31"/>
    <hyperlink ref="B55" r:id="rId32"/>
    <hyperlink ref="B57" r:id="rId33"/>
    <hyperlink ref="B56" r:id="rId34"/>
    <hyperlink ref="B58" r:id="rId35"/>
    <hyperlink ref="B43" r:id="rId36"/>
    <hyperlink ref="B35" r:id="rId37"/>
    <hyperlink ref="B34" r:id="rId38"/>
    <hyperlink ref="B33" r:id="rId39" display="Coho salmon - East Pacific: California-Oregon-Washington"/>
    <hyperlink ref="B42" r:id="rId40"/>
    <hyperlink ref="B41" r:id="rId41"/>
    <hyperlink ref="B38" r:id="rId42"/>
    <hyperlink ref="B14" r:id="rId43"/>
    <hyperlink ref="B50" r:id="rId44"/>
  </hyperlinks>
  <pageMargins left="0.75" right="0.75" top="1" bottom="1" header="0.5" footer="0.5"/>
  <pageSetup orientation="portrait" horizontalDpi="4294967292" verticalDpi="4294967292"/>
  <legacyDrawing r:id="rId4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3"/>
  <sheetViews>
    <sheetView zoomScale="75" zoomScaleNormal="75" zoomScalePageLayoutView="75" workbookViewId="0"/>
  </sheetViews>
  <sheetFormatPr baseColWidth="10" defaultRowHeight="15" x14ac:dyDescent="0"/>
  <cols>
    <col min="1" max="1" width="4.1640625" bestFit="1" customWidth="1"/>
    <col min="2" max="2" width="68.5" bestFit="1" customWidth="1"/>
    <col min="3" max="3" width="21.1640625" hidden="1" customWidth="1"/>
    <col min="4" max="4" width="16.5" customWidth="1"/>
    <col min="5" max="5" width="15" customWidth="1"/>
    <col min="6" max="6" width="13.5" customWidth="1"/>
    <col min="7" max="7" width="9.1640625" customWidth="1"/>
    <col min="8" max="8" width="11.33203125" customWidth="1"/>
    <col min="9" max="9" width="11.1640625" customWidth="1"/>
    <col min="10" max="10" width="10.33203125" bestFit="1" customWidth="1"/>
    <col min="11" max="11" width="13.1640625" bestFit="1" customWidth="1"/>
    <col min="12" max="12" width="12.83203125" bestFit="1" customWidth="1"/>
    <col min="13" max="13" width="14.6640625" bestFit="1" customWidth="1"/>
    <col min="14" max="14" width="12.1640625" customWidth="1"/>
    <col min="15" max="15" width="13.6640625" bestFit="1" customWidth="1"/>
  </cols>
  <sheetData>
    <row r="1" spans="1:17">
      <c r="A1" t="s">
        <v>369</v>
      </c>
    </row>
    <row r="2" spans="1:17" ht="19" thickBot="1">
      <c r="A2" s="350" t="s">
        <v>453</v>
      </c>
    </row>
    <row r="3" spans="1:17" s="110" customFormat="1" ht="65" customHeight="1" thickBot="1">
      <c r="A3" s="351" t="s">
        <v>12</v>
      </c>
      <c r="B3" s="351" t="s">
        <v>418</v>
      </c>
      <c r="C3" s="490" t="s">
        <v>482</v>
      </c>
      <c r="D3" s="352" t="s">
        <v>193</v>
      </c>
      <c r="E3" s="352" t="s">
        <v>194</v>
      </c>
      <c r="F3" s="352" t="s">
        <v>192</v>
      </c>
      <c r="G3" s="352" t="s">
        <v>70</v>
      </c>
      <c r="H3" s="352" t="s">
        <v>73</v>
      </c>
      <c r="I3" s="353" t="s">
        <v>123</v>
      </c>
      <c r="J3" s="354" t="s">
        <v>124</v>
      </c>
      <c r="K3" s="354" t="s">
        <v>125</v>
      </c>
      <c r="L3" s="354" t="s">
        <v>126</v>
      </c>
      <c r="M3" s="353" t="s">
        <v>127</v>
      </c>
      <c r="N3" s="355" t="s">
        <v>195</v>
      </c>
      <c r="O3" s="143" t="s">
        <v>259</v>
      </c>
    </row>
    <row r="4" spans="1:17" s="1" customFormat="1" ht="30">
      <c r="A4" s="174">
        <v>1</v>
      </c>
      <c r="B4" s="111" t="s">
        <v>131</v>
      </c>
      <c r="C4" s="496" t="s">
        <v>1314</v>
      </c>
      <c r="D4" s="159" t="s">
        <v>128</v>
      </c>
      <c r="E4" s="162" t="s">
        <v>128</v>
      </c>
      <c r="F4" s="162" t="s">
        <v>128</v>
      </c>
      <c r="G4" s="162" t="s">
        <v>128</v>
      </c>
      <c r="H4" s="162" t="s">
        <v>128</v>
      </c>
      <c r="I4" s="113" t="s">
        <v>135</v>
      </c>
      <c r="J4" s="114">
        <v>0.01</v>
      </c>
      <c r="K4" s="105" t="s">
        <v>252</v>
      </c>
      <c r="L4" s="461">
        <v>0.98</v>
      </c>
      <c r="M4" s="115" t="s">
        <v>132</v>
      </c>
      <c r="N4" s="115" t="s">
        <v>18</v>
      </c>
      <c r="O4" s="130" t="s">
        <v>280</v>
      </c>
      <c r="P4" s="382"/>
    </row>
    <row r="5" spans="1:17" ht="30">
      <c r="A5" s="174">
        <v>2</v>
      </c>
      <c r="B5" s="111" t="s">
        <v>134</v>
      </c>
      <c r="C5" s="496" t="s">
        <v>536</v>
      </c>
      <c r="D5" s="159" t="s">
        <v>128</v>
      </c>
      <c r="E5" s="159" t="s">
        <v>128</v>
      </c>
      <c r="F5" s="159" t="s">
        <v>128</v>
      </c>
      <c r="G5" s="159" t="s">
        <v>128</v>
      </c>
      <c r="H5" s="159">
        <v>10</v>
      </c>
      <c r="I5" s="113" t="s">
        <v>135</v>
      </c>
      <c r="J5" s="114">
        <f>(0.11+0.15)/2</f>
        <v>0.13</v>
      </c>
      <c r="K5" s="105" t="s">
        <v>252</v>
      </c>
      <c r="L5" s="461">
        <v>0</v>
      </c>
      <c r="M5" s="50" t="s">
        <v>136</v>
      </c>
      <c r="N5" s="50" t="s">
        <v>18</v>
      </c>
      <c r="O5" s="130" t="s">
        <v>253</v>
      </c>
    </row>
    <row r="6" spans="1:17" ht="31" thickBot="1">
      <c r="A6" s="176">
        <v>3</v>
      </c>
      <c r="B6" s="117" t="s">
        <v>138</v>
      </c>
      <c r="C6" s="493" t="s">
        <v>537</v>
      </c>
      <c r="D6" s="160" t="s">
        <v>128</v>
      </c>
      <c r="E6" s="160" t="s">
        <v>128</v>
      </c>
      <c r="F6" s="160" t="s">
        <v>128</v>
      </c>
      <c r="G6" s="160" t="s">
        <v>128</v>
      </c>
      <c r="H6" s="160" t="s">
        <v>128</v>
      </c>
      <c r="I6" s="118" t="s">
        <v>135</v>
      </c>
      <c r="J6" s="119">
        <f>(0.68+0.47)/2</f>
        <v>0.57499999999999996</v>
      </c>
      <c r="K6" s="105" t="s">
        <v>252</v>
      </c>
      <c r="L6" s="462">
        <v>0.57999999999999996</v>
      </c>
      <c r="M6" s="144" t="s">
        <v>132</v>
      </c>
      <c r="N6" s="305" t="s">
        <v>18</v>
      </c>
      <c r="O6" s="302" t="s">
        <v>257</v>
      </c>
      <c r="Q6" s="383"/>
    </row>
    <row r="7" spans="1:17" ht="31" thickBot="1">
      <c r="A7" s="411">
        <v>4</v>
      </c>
      <c r="B7" s="145" t="s">
        <v>142</v>
      </c>
      <c r="C7" s="494" t="s">
        <v>535</v>
      </c>
      <c r="D7" s="161" t="s">
        <v>128</v>
      </c>
      <c r="E7" s="161" t="s">
        <v>128</v>
      </c>
      <c r="F7" s="161" t="s">
        <v>128</v>
      </c>
      <c r="G7" s="161" t="s">
        <v>128</v>
      </c>
      <c r="H7" s="146" t="s">
        <v>60</v>
      </c>
      <c r="I7" s="147" t="s">
        <v>129</v>
      </c>
      <c r="J7" s="294">
        <f>(1.98+0.19)/2</f>
        <v>1.085</v>
      </c>
      <c r="K7" s="148" t="s">
        <v>252</v>
      </c>
      <c r="L7" s="463" t="s">
        <v>454</v>
      </c>
      <c r="M7" s="149" t="s">
        <v>132</v>
      </c>
      <c r="N7" s="303" t="s">
        <v>18</v>
      </c>
      <c r="O7" s="308" t="s">
        <v>281</v>
      </c>
      <c r="Q7" s="1"/>
    </row>
    <row r="8" spans="1:17" ht="30">
      <c r="A8" s="181">
        <v>5</v>
      </c>
      <c r="B8" s="126" t="s">
        <v>143</v>
      </c>
      <c r="C8" s="492" t="s">
        <v>538</v>
      </c>
      <c r="D8" s="159" t="s">
        <v>128</v>
      </c>
      <c r="E8" s="159" t="s">
        <v>128</v>
      </c>
      <c r="F8" s="159" t="s">
        <v>128</v>
      </c>
      <c r="G8" s="159" t="s">
        <v>128</v>
      </c>
      <c r="H8" s="159">
        <v>10</v>
      </c>
      <c r="I8" s="125" t="s">
        <v>135</v>
      </c>
      <c r="J8" s="114">
        <f>(6+7.23)/2</f>
        <v>6.6150000000000002</v>
      </c>
      <c r="K8" s="105" t="s">
        <v>252</v>
      </c>
      <c r="L8" s="461">
        <v>0</v>
      </c>
      <c r="M8" s="127" t="s">
        <v>133</v>
      </c>
      <c r="N8" s="127" t="s">
        <v>18</v>
      </c>
      <c r="O8" s="130" t="s">
        <v>253</v>
      </c>
    </row>
    <row r="9" spans="1:17" ht="30">
      <c r="A9" s="174">
        <v>6</v>
      </c>
      <c r="B9" s="111" t="s">
        <v>144</v>
      </c>
      <c r="C9" s="496" t="s">
        <v>539</v>
      </c>
      <c r="D9" s="159" t="s">
        <v>128</v>
      </c>
      <c r="E9" s="159" t="s">
        <v>128</v>
      </c>
      <c r="F9" s="159" t="s">
        <v>128</v>
      </c>
      <c r="G9" s="159" t="s">
        <v>128</v>
      </c>
      <c r="H9" s="159">
        <v>10</v>
      </c>
      <c r="I9" s="125" t="s">
        <v>135</v>
      </c>
      <c r="J9" s="114">
        <f>(2.03+2.55)/2</f>
        <v>2.29</v>
      </c>
      <c r="K9" s="105" t="s">
        <v>252</v>
      </c>
      <c r="L9" s="461">
        <v>0</v>
      </c>
      <c r="M9" s="125" t="s">
        <v>136</v>
      </c>
      <c r="N9" s="125" t="s">
        <v>18</v>
      </c>
      <c r="O9" s="130" t="s">
        <v>253</v>
      </c>
    </row>
    <row r="10" spans="1:17" ht="31" thickBot="1">
      <c r="A10" s="183">
        <v>7</v>
      </c>
      <c r="B10" s="150" t="s">
        <v>145</v>
      </c>
      <c r="C10" s="495" t="s">
        <v>540</v>
      </c>
      <c r="D10" s="160" t="s">
        <v>128</v>
      </c>
      <c r="E10" s="160" t="s">
        <v>128</v>
      </c>
      <c r="F10" s="160" t="s">
        <v>128</v>
      </c>
      <c r="G10" s="160" t="s">
        <v>128</v>
      </c>
      <c r="H10" s="160">
        <v>10</v>
      </c>
      <c r="I10" s="151" t="s">
        <v>135</v>
      </c>
      <c r="J10" s="119">
        <f>(1.24+0.67)/2</f>
        <v>0.95500000000000007</v>
      </c>
      <c r="K10" s="120" t="s">
        <v>252</v>
      </c>
      <c r="L10" s="462">
        <v>0</v>
      </c>
      <c r="M10" s="151" t="s">
        <v>146</v>
      </c>
      <c r="N10" s="306" t="s">
        <v>18</v>
      </c>
      <c r="O10" s="309" t="s">
        <v>253</v>
      </c>
    </row>
    <row r="11" spans="1:17" ht="30">
      <c r="A11" s="181">
        <v>8</v>
      </c>
      <c r="B11" s="152" t="s">
        <v>148</v>
      </c>
      <c r="C11" s="491" t="s">
        <v>554</v>
      </c>
      <c r="D11" s="146" t="s">
        <v>60</v>
      </c>
      <c r="E11" s="146" t="s">
        <v>60</v>
      </c>
      <c r="F11" s="163" t="s">
        <v>128</v>
      </c>
      <c r="G11" s="146" t="s">
        <v>60</v>
      </c>
      <c r="H11" s="163" t="s">
        <v>128</v>
      </c>
      <c r="I11" s="148" t="s">
        <v>129</v>
      </c>
      <c r="J11" s="295">
        <f>(0.32+0.07)/2</f>
        <v>0.19500000000000001</v>
      </c>
      <c r="K11" s="148" t="s">
        <v>251</v>
      </c>
      <c r="L11" s="463">
        <v>0.25</v>
      </c>
      <c r="M11" s="148" t="s">
        <v>146</v>
      </c>
      <c r="N11" s="304" t="s">
        <v>18</v>
      </c>
      <c r="O11" s="307" t="s">
        <v>254</v>
      </c>
    </row>
    <row r="12" spans="1:17" ht="30">
      <c r="A12" s="174">
        <v>9</v>
      </c>
      <c r="B12" s="111" t="s">
        <v>149</v>
      </c>
      <c r="C12" s="496" t="s">
        <v>555</v>
      </c>
      <c r="D12" s="112" t="s">
        <v>60</v>
      </c>
      <c r="E12" s="112" t="s">
        <v>60</v>
      </c>
      <c r="F12" s="162" t="s">
        <v>128</v>
      </c>
      <c r="G12" s="112" t="s">
        <v>60</v>
      </c>
      <c r="H12" s="162" t="s">
        <v>128</v>
      </c>
      <c r="I12" s="105" t="s">
        <v>129</v>
      </c>
      <c r="J12" s="296">
        <f>(1.86+2.48)/2</f>
        <v>2.17</v>
      </c>
      <c r="K12" s="105" t="s">
        <v>251</v>
      </c>
      <c r="L12" s="461">
        <v>0.25</v>
      </c>
      <c r="M12" s="105" t="s">
        <v>146</v>
      </c>
      <c r="N12" s="105" t="s">
        <v>18</v>
      </c>
      <c r="O12" s="130" t="s">
        <v>255</v>
      </c>
    </row>
    <row r="13" spans="1:17" ht="30">
      <c r="A13" s="175">
        <v>10</v>
      </c>
      <c r="B13" s="126" t="s">
        <v>150</v>
      </c>
      <c r="C13" s="492" t="s">
        <v>557</v>
      </c>
      <c r="D13" s="112" t="s">
        <v>60</v>
      </c>
      <c r="E13" s="112" t="s">
        <v>60</v>
      </c>
      <c r="F13" s="162" t="s">
        <v>128</v>
      </c>
      <c r="G13" s="112" t="s">
        <v>60</v>
      </c>
      <c r="H13" s="162" t="s">
        <v>128</v>
      </c>
      <c r="I13" s="105" t="s">
        <v>129</v>
      </c>
      <c r="J13" s="296">
        <f>(0.78+1.45)/2</f>
        <v>1.115</v>
      </c>
      <c r="K13" s="105" t="s">
        <v>251</v>
      </c>
      <c r="L13" s="461">
        <v>0.1</v>
      </c>
      <c r="M13" s="130" t="s">
        <v>141</v>
      </c>
      <c r="N13" s="130" t="s">
        <v>18</v>
      </c>
      <c r="O13" s="105" t="s">
        <v>263</v>
      </c>
    </row>
    <row r="14" spans="1:17" ht="31" thickBot="1">
      <c r="A14" s="179">
        <v>11</v>
      </c>
      <c r="B14" s="117" t="s">
        <v>151</v>
      </c>
      <c r="C14" s="493" t="s">
        <v>556</v>
      </c>
      <c r="D14" s="153" t="s">
        <v>60</v>
      </c>
      <c r="E14" s="153" t="s">
        <v>60</v>
      </c>
      <c r="F14" s="164" t="s">
        <v>128</v>
      </c>
      <c r="G14" s="153" t="s">
        <v>60</v>
      </c>
      <c r="H14" s="153" t="s">
        <v>60</v>
      </c>
      <c r="I14" s="120" t="s">
        <v>129</v>
      </c>
      <c r="J14" s="297">
        <f>(0.75+0.1)/2</f>
        <v>0.42499999999999999</v>
      </c>
      <c r="K14" s="121" t="s">
        <v>251</v>
      </c>
      <c r="L14" s="464">
        <v>0.25</v>
      </c>
      <c r="M14" s="120" t="s">
        <v>146</v>
      </c>
      <c r="N14" s="120" t="s">
        <v>18</v>
      </c>
      <c r="O14" s="302" t="s">
        <v>255</v>
      </c>
    </row>
    <row r="15" spans="1:17" s="18" customFormat="1" ht="30">
      <c r="A15" s="177">
        <v>12</v>
      </c>
      <c r="B15" s="145" t="s">
        <v>153</v>
      </c>
      <c r="C15" s="494" t="s">
        <v>558</v>
      </c>
      <c r="D15" s="154" t="s">
        <v>59</v>
      </c>
      <c r="E15" s="154" t="s">
        <v>59</v>
      </c>
      <c r="F15" s="165" t="s">
        <v>128</v>
      </c>
      <c r="G15" s="154" t="s">
        <v>59</v>
      </c>
      <c r="H15" s="154" t="s">
        <v>59</v>
      </c>
      <c r="I15" s="155" t="s">
        <v>140</v>
      </c>
      <c r="J15" s="298">
        <v>97</v>
      </c>
      <c r="K15" s="155" t="s">
        <v>251</v>
      </c>
      <c r="L15" s="465">
        <v>1</v>
      </c>
      <c r="M15" s="155" t="s">
        <v>152</v>
      </c>
      <c r="N15" s="155" t="s">
        <v>18</v>
      </c>
      <c r="O15" s="155" t="s">
        <v>55</v>
      </c>
    </row>
    <row r="16" spans="1:17" s="18" customFormat="1" ht="31" thickBot="1">
      <c r="A16" s="180">
        <v>13</v>
      </c>
      <c r="B16" s="150" t="s">
        <v>154</v>
      </c>
      <c r="C16" s="495" t="s">
        <v>559</v>
      </c>
      <c r="D16" s="156" t="s">
        <v>59</v>
      </c>
      <c r="E16" s="156" t="s">
        <v>59</v>
      </c>
      <c r="F16" s="166" t="s">
        <v>128</v>
      </c>
      <c r="G16" s="156" t="s">
        <v>59</v>
      </c>
      <c r="H16" s="156" t="s">
        <v>59</v>
      </c>
      <c r="I16" s="135" t="s">
        <v>140</v>
      </c>
      <c r="J16" s="288">
        <f>13.555+0.907</f>
        <v>14.462</v>
      </c>
      <c r="K16" s="135" t="s">
        <v>251</v>
      </c>
      <c r="L16" s="466">
        <v>1</v>
      </c>
      <c r="M16" s="135" t="s">
        <v>152</v>
      </c>
      <c r="N16" s="135" t="s">
        <v>18</v>
      </c>
      <c r="O16" s="135" t="s">
        <v>55</v>
      </c>
    </row>
    <row r="17" spans="1:17" ht="30">
      <c r="A17" s="178">
        <v>14</v>
      </c>
      <c r="B17" s="145" t="s">
        <v>157</v>
      </c>
      <c r="C17" s="494" t="s">
        <v>560</v>
      </c>
      <c r="D17" s="157" t="s">
        <v>60</v>
      </c>
      <c r="E17" s="165" t="s">
        <v>128</v>
      </c>
      <c r="F17" s="165" t="s">
        <v>128</v>
      </c>
      <c r="G17" s="165" t="s">
        <v>128</v>
      </c>
      <c r="H17" s="167">
        <v>10</v>
      </c>
      <c r="I17" s="155" t="s">
        <v>129</v>
      </c>
      <c r="J17" s="298">
        <f>(0.78+0.98)/2</f>
        <v>0.88</v>
      </c>
      <c r="K17" s="155" t="s">
        <v>252</v>
      </c>
      <c r="L17" s="465">
        <v>0</v>
      </c>
      <c r="M17" s="155" t="s">
        <v>152</v>
      </c>
      <c r="N17" s="155" t="s">
        <v>18</v>
      </c>
      <c r="O17" s="155" t="s">
        <v>55</v>
      </c>
    </row>
    <row r="18" spans="1:17" ht="30">
      <c r="A18" s="175">
        <v>15</v>
      </c>
      <c r="B18" s="111" t="s">
        <v>159</v>
      </c>
      <c r="C18" s="496" t="s">
        <v>561</v>
      </c>
      <c r="D18" s="134" t="s">
        <v>60</v>
      </c>
      <c r="E18" s="134" t="s">
        <v>60</v>
      </c>
      <c r="F18" s="131" t="s">
        <v>59</v>
      </c>
      <c r="G18" s="134" t="s">
        <v>60</v>
      </c>
      <c r="H18" s="134" t="s">
        <v>60</v>
      </c>
      <c r="I18" s="129" t="s">
        <v>140</v>
      </c>
      <c r="J18" s="299">
        <f>(1.92+1.62)/2</f>
        <v>1.77</v>
      </c>
      <c r="K18" s="129" t="s">
        <v>252</v>
      </c>
      <c r="L18" s="136" t="s">
        <v>68</v>
      </c>
      <c r="M18" s="129" t="s">
        <v>152</v>
      </c>
      <c r="N18" s="129" t="s">
        <v>18</v>
      </c>
      <c r="O18" s="129" t="s">
        <v>55</v>
      </c>
    </row>
    <row r="19" spans="1:17" ht="30">
      <c r="A19" s="174">
        <v>16</v>
      </c>
      <c r="B19" s="126" t="s">
        <v>160</v>
      </c>
      <c r="C19" s="492" t="s">
        <v>562</v>
      </c>
      <c r="D19" s="134" t="s">
        <v>60</v>
      </c>
      <c r="E19" s="134" t="s">
        <v>60</v>
      </c>
      <c r="F19" s="131" t="s">
        <v>59</v>
      </c>
      <c r="G19" s="131" t="s">
        <v>59</v>
      </c>
      <c r="H19" s="131" t="s">
        <v>59</v>
      </c>
      <c r="I19" s="129" t="s">
        <v>140</v>
      </c>
      <c r="J19" s="299">
        <f>(0.14+0.12)/2</f>
        <v>0.13</v>
      </c>
      <c r="K19" s="129" t="s">
        <v>252</v>
      </c>
      <c r="L19" s="136" t="s">
        <v>68</v>
      </c>
      <c r="M19" s="136" t="s">
        <v>152</v>
      </c>
      <c r="N19" s="136" t="s">
        <v>18</v>
      </c>
      <c r="O19" s="129" t="s">
        <v>55</v>
      </c>
    </row>
    <row r="20" spans="1:17" ht="30">
      <c r="A20" s="175">
        <v>17</v>
      </c>
      <c r="B20" s="111" t="s">
        <v>161</v>
      </c>
      <c r="C20" s="497" t="s">
        <v>563</v>
      </c>
      <c r="D20" s="137">
        <v>6</v>
      </c>
      <c r="E20" s="137">
        <v>7</v>
      </c>
      <c r="F20" s="128" t="s">
        <v>59</v>
      </c>
      <c r="G20" s="137">
        <v>7</v>
      </c>
      <c r="H20" s="134" t="s">
        <v>60</v>
      </c>
      <c r="I20" s="129" t="s">
        <v>140</v>
      </c>
      <c r="J20" s="299">
        <f>(4.13+2.78)/2</f>
        <v>3.4550000000000001</v>
      </c>
      <c r="K20" s="129" t="s">
        <v>252</v>
      </c>
      <c r="L20" s="136" t="s">
        <v>68</v>
      </c>
      <c r="M20" s="129" t="s">
        <v>136</v>
      </c>
      <c r="N20" s="129" t="s">
        <v>18</v>
      </c>
      <c r="O20" s="129" t="s">
        <v>55</v>
      </c>
    </row>
    <row r="21" spans="1:17" ht="31" thickBot="1">
      <c r="A21" s="174">
        <v>18</v>
      </c>
      <c r="B21" s="126" t="s">
        <v>162</v>
      </c>
      <c r="C21" s="492" t="s">
        <v>564</v>
      </c>
      <c r="D21" s="137">
        <v>6</v>
      </c>
      <c r="E21" s="137">
        <v>7</v>
      </c>
      <c r="F21" s="128" t="s">
        <v>59</v>
      </c>
      <c r="G21" s="137">
        <v>7</v>
      </c>
      <c r="H21" s="134" t="s">
        <v>60</v>
      </c>
      <c r="I21" s="129" t="s">
        <v>140</v>
      </c>
      <c r="J21" s="299">
        <f>(3.35+3.37)/2</f>
        <v>3.3600000000000003</v>
      </c>
      <c r="K21" s="129" t="s">
        <v>252</v>
      </c>
      <c r="L21" s="136" t="s">
        <v>68</v>
      </c>
      <c r="M21" s="129" t="s">
        <v>136</v>
      </c>
      <c r="N21" s="129" t="s">
        <v>18</v>
      </c>
      <c r="O21" s="129" t="s">
        <v>55</v>
      </c>
    </row>
    <row r="22" spans="1:17" ht="30">
      <c r="A22" s="182">
        <v>19</v>
      </c>
      <c r="B22" s="152" t="s">
        <v>165</v>
      </c>
      <c r="C22" s="491" t="s">
        <v>541</v>
      </c>
      <c r="D22" s="163" t="s">
        <v>128</v>
      </c>
      <c r="E22" s="146" t="s">
        <v>60</v>
      </c>
      <c r="F22" s="163" t="s">
        <v>128</v>
      </c>
      <c r="G22" s="163" t="s">
        <v>128</v>
      </c>
      <c r="H22" s="146" t="s">
        <v>60</v>
      </c>
      <c r="I22" s="155" t="s">
        <v>129</v>
      </c>
      <c r="J22" s="298">
        <f>(0.04+0.12)/2</f>
        <v>0.08</v>
      </c>
      <c r="K22" s="155" t="s">
        <v>251</v>
      </c>
      <c r="L22" s="465">
        <v>0.98</v>
      </c>
      <c r="M22" s="149" t="s">
        <v>132</v>
      </c>
      <c r="N22" s="149" t="s">
        <v>18</v>
      </c>
      <c r="O22" s="124" t="s">
        <v>271</v>
      </c>
      <c r="Q22" s="1"/>
    </row>
    <row r="23" spans="1:17" ht="30">
      <c r="A23" s="174">
        <v>20</v>
      </c>
      <c r="B23" s="111" t="s">
        <v>166</v>
      </c>
      <c r="C23" s="496" t="s">
        <v>542</v>
      </c>
      <c r="D23" s="162" t="s">
        <v>128</v>
      </c>
      <c r="E23" s="162" t="s">
        <v>128</v>
      </c>
      <c r="F23" s="162" t="s">
        <v>128</v>
      </c>
      <c r="G23" s="162" t="s">
        <v>128</v>
      </c>
      <c r="H23" s="159">
        <v>10</v>
      </c>
      <c r="I23" s="129" t="s">
        <v>135</v>
      </c>
      <c r="J23" s="299">
        <f>(0.92+0.72)/2</f>
        <v>0.82000000000000006</v>
      </c>
      <c r="K23" s="129" t="s">
        <v>252</v>
      </c>
      <c r="L23" s="467">
        <v>0</v>
      </c>
      <c r="M23" s="127" t="s">
        <v>133</v>
      </c>
      <c r="N23" s="127" t="s">
        <v>18</v>
      </c>
      <c r="O23" s="130" t="s">
        <v>253</v>
      </c>
    </row>
    <row r="24" spans="1:17" ht="30">
      <c r="A24" s="175">
        <v>21</v>
      </c>
      <c r="B24" s="126" t="s">
        <v>167</v>
      </c>
      <c r="C24" s="492" t="s">
        <v>543</v>
      </c>
      <c r="D24" s="162" t="s">
        <v>128</v>
      </c>
      <c r="E24" s="162" t="s">
        <v>128</v>
      </c>
      <c r="F24" s="162" t="s">
        <v>128</v>
      </c>
      <c r="G24" s="162" t="s">
        <v>128</v>
      </c>
      <c r="H24" s="159">
        <v>10</v>
      </c>
      <c r="I24" s="129" t="s">
        <v>135</v>
      </c>
      <c r="J24" s="299">
        <f>(0.37+0.26)/2</f>
        <v>0.315</v>
      </c>
      <c r="K24" s="129" t="s">
        <v>252</v>
      </c>
      <c r="L24" s="467">
        <v>0</v>
      </c>
      <c r="M24" s="129" t="s">
        <v>136</v>
      </c>
      <c r="N24" s="129" t="s">
        <v>18</v>
      </c>
      <c r="O24" s="130" t="s">
        <v>253</v>
      </c>
    </row>
    <row r="25" spans="1:17" ht="30">
      <c r="A25" s="174">
        <v>22</v>
      </c>
      <c r="B25" s="111" t="s">
        <v>168</v>
      </c>
      <c r="C25" s="496" t="s">
        <v>544</v>
      </c>
      <c r="D25" s="162" t="s">
        <v>128</v>
      </c>
      <c r="E25" s="162" t="s">
        <v>128</v>
      </c>
      <c r="F25" s="162" t="s">
        <v>128</v>
      </c>
      <c r="G25" s="162" t="s">
        <v>128</v>
      </c>
      <c r="H25" s="159">
        <v>10</v>
      </c>
      <c r="I25" s="129" t="s">
        <v>135</v>
      </c>
      <c r="J25" s="299">
        <f>(0.29+0.71)/2</f>
        <v>0.5</v>
      </c>
      <c r="K25" s="129" t="s">
        <v>252</v>
      </c>
      <c r="L25" s="467">
        <v>0</v>
      </c>
      <c r="M25" s="127" t="s">
        <v>133</v>
      </c>
      <c r="N25" s="127" t="s">
        <v>18</v>
      </c>
      <c r="O25" s="130" t="s">
        <v>253</v>
      </c>
    </row>
    <row r="26" spans="1:17" ht="30">
      <c r="A26" s="175">
        <v>23</v>
      </c>
      <c r="B26" s="111" t="s">
        <v>169</v>
      </c>
      <c r="C26" s="496" t="s">
        <v>545</v>
      </c>
      <c r="D26" s="162" t="s">
        <v>128</v>
      </c>
      <c r="E26" s="162" t="s">
        <v>128</v>
      </c>
      <c r="F26" s="162" t="s">
        <v>128</v>
      </c>
      <c r="G26" s="162" t="s">
        <v>128</v>
      </c>
      <c r="H26" s="162" t="s">
        <v>128</v>
      </c>
      <c r="I26" s="129" t="s">
        <v>135</v>
      </c>
      <c r="J26" s="299">
        <f>(0.1+1.2)/2</f>
        <v>0.65</v>
      </c>
      <c r="K26" s="129" t="s">
        <v>252</v>
      </c>
      <c r="L26" s="467">
        <v>1</v>
      </c>
      <c r="M26" s="129" t="s">
        <v>136</v>
      </c>
      <c r="N26" s="129" t="s">
        <v>18</v>
      </c>
      <c r="O26" s="130" t="s">
        <v>253</v>
      </c>
    </row>
    <row r="27" spans="1:17" ht="31" thickBot="1">
      <c r="A27" s="179">
        <v>24</v>
      </c>
      <c r="B27" s="117" t="s">
        <v>170</v>
      </c>
      <c r="C27" s="493" t="s">
        <v>546</v>
      </c>
      <c r="D27" s="164" t="s">
        <v>128</v>
      </c>
      <c r="E27" s="134" t="s">
        <v>60</v>
      </c>
      <c r="F27" s="164" t="s">
        <v>128</v>
      </c>
      <c r="G27" s="164" t="s">
        <v>128</v>
      </c>
      <c r="H27" s="134" t="s">
        <v>60</v>
      </c>
      <c r="I27" s="135" t="s">
        <v>129</v>
      </c>
      <c r="J27" s="288">
        <f>(0.76+0.91)/2</f>
        <v>0.83499999999999996</v>
      </c>
      <c r="K27" s="135" t="s">
        <v>252</v>
      </c>
      <c r="L27" s="468">
        <v>0.1</v>
      </c>
      <c r="M27" s="170" t="s">
        <v>171</v>
      </c>
      <c r="N27" s="170" t="s">
        <v>18</v>
      </c>
      <c r="O27" s="170" t="s">
        <v>264</v>
      </c>
    </row>
    <row r="28" spans="1:17" s="3" customFormat="1" ht="30">
      <c r="A28" s="181">
        <v>25</v>
      </c>
      <c r="B28" s="152" t="s">
        <v>172</v>
      </c>
      <c r="C28" s="491" t="s">
        <v>547</v>
      </c>
      <c r="D28" s="165" t="s">
        <v>128</v>
      </c>
      <c r="E28" s="165" t="s">
        <v>128</v>
      </c>
      <c r="F28" s="165" t="s">
        <v>128</v>
      </c>
      <c r="G28" s="165" t="s">
        <v>128</v>
      </c>
      <c r="H28" s="165" t="s">
        <v>128</v>
      </c>
      <c r="I28" s="155" t="s">
        <v>135</v>
      </c>
      <c r="J28" s="298">
        <f>(1.19+0.14)/2</f>
        <v>0.66500000000000004</v>
      </c>
      <c r="K28" s="155" t="s">
        <v>252</v>
      </c>
      <c r="L28" s="469">
        <v>0</v>
      </c>
      <c r="M28" s="149" t="s">
        <v>132</v>
      </c>
      <c r="N28" s="149" t="s">
        <v>18</v>
      </c>
      <c r="O28" s="124" t="s">
        <v>269</v>
      </c>
      <c r="Q28" s="459"/>
    </row>
    <row r="29" spans="1:17" s="3" customFormat="1" ht="30">
      <c r="A29" s="174">
        <v>26</v>
      </c>
      <c r="B29" s="111" t="s">
        <v>173</v>
      </c>
      <c r="C29" s="496" t="s">
        <v>548</v>
      </c>
      <c r="D29" s="168" t="s">
        <v>128</v>
      </c>
      <c r="E29" s="168" t="s">
        <v>128</v>
      </c>
      <c r="F29" s="168" t="s">
        <v>128</v>
      </c>
      <c r="G29" s="168" t="s">
        <v>128</v>
      </c>
      <c r="H29" s="169">
        <v>10</v>
      </c>
      <c r="I29" s="129" t="s">
        <v>135</v>
      </c>
      <c r="J29" s="299">
        <f>(1.14+2.95)/2</f>
        <v>2.0449999999999999</v>
      </c>
      <c r="K29" s="129" t="s">
        <v>252</v>
      </c>
      <c r="L29" s="467">
        <v>0</v>
      </c>
      <c r="M29" s="127" t="s">
        <v>133</v>
      </c>
      <c r="N29" s="127" t="s">
        <v>18</v>
      </c>
      <c r="O29" s="130" t="s">
        <v>253</v>
      </c>
    </row>
    <row r="30" spans="1:17" ht="30">
      <c r="A30" s="175">
        <v>27</v>
      </c>
      <c r="B30" s="126" t="s">
        <v>174</v>
      </c>
      <c r="C30" s="492" t="s">
        <v>549</v>
      </c>
      <c r="D30" s="168" t="s">
        <v>128</v>
      </c>
      <c r="E30" s="168" t="s">
        <v>128</v>
      </c>
      <c r="F30" s="168" t="s">
        <v>128</v>
      </c>
      <c r="G30" s="168" t="s">
        <v>128</v>
      </c>
      <c r="H30" s="169">
        <v>10</v>
      </c>
      <c r="I30" s="129" t="s">
        <v>135</v>
      </c>
      <c r="J30" s="299">
        <f>(0.22+0.01)/2</f>
        <v>0.115</v>
      </c>
      <c r="K30" s="129" t="s">
        <v>252</v>
      </c>
      <c r="L30" s="467">
        <v>0</v>
      </c>
      <c r="M30" s="129" t="s">
        <v>137</v>
      </c>
      <c r="N30" s="129" t="s">
        <v>18</v>
      </c>
      <c r="O30" s="130" t="s">
        <v>253</v>
      </c>
    </row>
    <row r="31" spans="1:17" ht="31" thickBot="1">
      <c r="A31" s="180">
        <v>28</v>
      </c>
      <c r="B31" s="117" t="s">
        <v>175</v>
      </c>
      <c r="C31" s="493" t="s">
        <v>550</v>
      </c>
      <c r="D31" s="164" t="s">
        <v>128</v>
      </c>
      <c r="E31" s="166" t="s">
        <v>128</v>
      </c>
      <c r="F31" s="164" t="s">
        <v>128</v>
      </c>
      <c r="G31" s="164" t="s">
        <v>128</v>
      </c>
      <c r="H31" s="134" t="s">
        <v>60</v>
      </c>
      <c r="I31" s="135" t="s">
        <v>129</v>
      </c>
      <c r="J31" s="288">
        <f>(27.67+41.68)/2</f>
        <v>34.674999999999997</v>
      </c>
      <c r="K31" s="135" t="s">
        <v>252</v>
      </c>
      <c r="L31" s="466">
        <v>0.22</v>
      </c>
      <c r="M31" s="135" t="s">
        <v>146</v>
      </c>
      <c r="N31" s="135" t="s">
        <v>18</v>
      </c>
      <c r="O31" s="170" t="s">
        <v>257</v>
      </c>
    </row>
    <row r="32" spans="1:17" ht="30">
      <c r="A32" s="178">
        <v>29</v>
      </c>
      <c r="B32" s="145" t="s">
        <v>176</v>
      </c>
      <c r="C32" s="494" t="s">
        <v>565</v>
      </c>
      <c r="D32" s="157" t="s">
        <v>60</v>
      </c>
      <c r="E32" s="157" t="s">
        <v>60</v>
      </c>
      <c r="F32" s="157" t="s">
        <v>60</v>
      </c>
      <c r="G32" s="157" t="s">
        <v>60</v>
      </c>
      <c r="H32" s="167">
        <v>10</v>
      </c>
      <c r="I32" s="155" t="s">
        <v>129</v>
      </c>
      <c r="J32" s="298">
        <f>1.39/2</f>
        <v>0.69499999999999995</v>
      </c>
      <c r="K32" s="155" t="s">
        <v>251</v>
      </c>
      <c r="L32" s="465">
        <v>0</v>
      </c>
      <c r="M32" s="155" t="s">
        <v>146</v>
      </c>
      <c r="N32" s="155" t="s">
        <v>18</v>
      </c>
      <c r="O32" s="124" t="s">
        <v>278</v>
      </c>
    </row>
    <row r="33" spans="1:17" ht="30">
      <c r="A33" s="175">
        <v>30</v>
      </c>
      <c r="B33" s="126" t="s">
        <v>177</v>
      </c>
      <c r="C33" s="498" t="s">
        <v>566</v>
      </c>
      <c r="D33" s="134" t="s">
        <v>60</v>
      </c>
      <c r="E33" s="134" t="s">
        <v>60</v>
      </c>
      <c r="F33" s="134" t="s">
        <v>60</v>
      </c>
      <c r="G33" s="134" t="s">
        <v>60</v>
      </c>
      <c r="H33" s="168" t="s">
        <v>128</v>
      </c>
      <c r="I33" s="129" t="s">
        <v>129</v>
      </c>
      <c r="J33" s="299">
        <f>5.46/2</f>
        <v>2.73</v>
      </c>
      <c r="K33" s="129" t="s">
        <v>251</v>
      </c>
      <c r="L33" s="467">
        <v>0.1</v>
      </c>
      <c r="M33" s="129" t="s">
        <v>146</v>
      </c>
      <c r="N33" s="129" t="s">
        <v>18</v>
      </c>
      <c r="O33" s="130" t="s">
        <v>278</v>
      </c>
    </row>
    <row r="34" spans="1:17" ht="31" thickBot="1">
      <c r="A34" s="179">
        <v>31</v>
      </c>
      <c r="B34" s="111" t="s">
        <v>178</v>
      </c>
      <c r="C34" s="496" t="s">
        <v>567</v>
      </c>
      <c r="D34" s="134" t="s">
        <v>60</v>
      </c>
      <c r="E34" s="134" t="s">
        <v>60</v>
      </c>
      <c r="F34" s="134" t="s">
        <v>60</v>
      </c>
      <c r="G34" s="134" t="s">
        <v>60</v>
      </c>
      <c r="H34" s="169">
        <v>10</v>
      </c>
      <c r="I34" s="129" t="s">
        <v>129</v>
      </c>
      <c r="J34" s="299">
        <f>(2.09+1.23)/2</f>
        <v>1.66</v>
      </c>
      <c r="K34" s="129" t="s">
        <v>251</v>
      </c>
      <c r="L34" s="467">
        <v>0</v>
      </c>
      <c r="M34" s="129" t="s">
        <v>146</v>
      </c>
      <c r="N34" s="129" t="s">
        <v>18</v>
      </c>
      <c r="O34" s="130" t="s">
        <v>277</v>
      </c>
    </row>
    <row r="35" spans="1:17" ht="30">
      <c r="A35" s="177">
        <v>32</v>
      </c>
      <c r="B35" s="145" t="s">
        <v>180</v>
      </c>
      <c r="C35" s="494" t="s">
        <v>568</v>
      </c>
      <c r="D35" s="165" t="s">
        <v>128</v>
      </c>
      <c r="E35" s="165" t="s">
        <v>128</v>
      </c>
      <c r="F35" s="165" t="s">
        <v>128</v>
      </c>
      <c r="G35" s="165" t="s">
        <v>128</v>
      </c>
      <c r="H35" s="167">
        <v>10</v>
      </c>
      <c r="I35" s="155" t="s">
        <v>135</v>
      </c>
      <c r="J35" s="298">
        <f>(0.033+0.27)/2</f>
        <v>0.15150000000000002</v>
      </c>
      <c r="K35" s="155" t="s">
        <v>252</v>
      </c>
      <c r="L35" s="465">
        <v>0</v>
      </c>
      <c r="M35" s="155" t="s">
        <v>152</v>
      </c>
      <c r="N35" s="155" t="s">
        <v>18</v>
      </c>
      <c r="O35" s="155" t="s">
        <v>55</v>
      </c>
    </row>
    <row r="36" spans="1:17" ht="30">
      <c r="A36" s="175">
        <v>33</v>
      </c>
      <c r="B36" s="126" t="s">
        <v>365</v>
      </c>
      <c r="C36" s="492" t="s">
        <v>569</v>
      </c>
      <c r="D36" s="134" t="s">
        <v>60</v>
      </c>
      <c r="E36" s="168" t="s">
        <v>128</v>
      </c>
      <c r="F36" s="134" t="s">
        <v>60</v>
      </c>
      <c r="G36" s="131" t="s">
        <v>59</v>
      </c>
      <c r="H36" s="169">
        <v>10</v>
      </c>
      <c r="I36" s="129" t="s">
        <v>140</v>
      </c>
      <c r="J36" s="299">
        <f>(16.43+9.702)/2</f>
        <v>13.065999999999999</v>
      </c>
      <c r="K36" s="129" t="s">
        <v>252</v>
      </c>
      <c r="L36" s="467">
        <v>0</v>
      </c>
      <c r="M36" s="129" t="s">
        <v>152</v>
      </c>
      <c r="N36" s="129" t="s">
        <v>18</v>
      </c>
      <c r="O36" s="129" t="s">
        <v>55</v>
      </c>
    </row>
    <row r="37" spans="1:17" ht="30">
      <c r="A37" s="174">
        <v>34</v>
      </c>
      <c r="B37" s="111" t="s">
        <v>181</v>
      </c>
      <c r="C37" s="496" t="s">
        <v>570</v>
      </c>
      <c r="D37" s="134" t="s">
        <v>60</v>
      </c>
      <c r="E37" s="168" t="s">
        <v>128</v>
      </c>
      <c r="F37" s="131" t="s">
        <v>59</v>
      </c>
      <c r="G37" s="168" t="s">
        <v>128</v>
      </c>
      <c r="H37" s="134" t="s">
        <v>60</v>
      </c>
      <c r="I37" s="129" t="s">
        <v>140</v>
      </c>
      <c r="J37" s="299">
        <f>(0.28+3.02)/2</f>
        <v>1.65</v>
      </c>
      <c r="K37" s="129" t="s">
        <v>252</v>
      </c>
      <c r="L37" s="467" t="s">
        <v>68</v>
      </c>
      <c r="M37" s="129" t="s">
        <v>152</v>
      </c>
      <c r="N37" s="129" t="s">
        <v>18</v>
      </c>
      <c r="O37" s="129" t="s">
        <v>55</v>
      </c>
    </row>
    <row r="38" spans="1:17" ht="31" thickBot="1">
      <c r="A38" s="180">
        <v>35</v>
      </c>
      <c r="B38" s="117" t="s">
        <v>182</v>
      </c>
      <c r="C38" s="493" t="s">
        <v>571</v>
      </c>
      <c r="D38" s="158" t="s">
        <v>60</v>
      </c>
      <c r="E38" s="166" t="s">
        <v>128</v>
      </c>
      <c r="F38" s="156" t="s">
        <v>59</v>
      </c>
      <c r="G38" s="156" t="s">
        <v>59</v>
      </c>
      <c r="H38" s="171">
        <v>10</v>
      </c>
      <c r="I38" s="135" t="s">
        <v>140</v>
      </c>
      <c r="J38" s="288">
        <f>(2.89+0.003)/2</f>
        <v>1.4465000000000001</v>
      </c>
      <c r="K38" s="135" t="s">
        <v>252</v>
      </c>
      <c r="L38" s="466">
        <v>0</v>
      </c>
      <c r="M38" s="135" t="s">
        <v>152</v>
      </c>
      <c r="N38" s="135" t="s">
        <v>18</v>
      </c>
      <c r="O38" s="135" t="s">
        <v>55</v>
      </c>
    </row>
    <row r="39" spans="1:17" ht="30">
      <c r="A39" s="178">
        <v>36</v>
      </c>
      <c r="B39" s="145" t="s">
        <v>183</v>
      </c>
      <c r="C39" s="494" t="s">
        <v>551</v>
      </c>
      <c r="D39" s="157" t="s">
        <v>60</v>
      </c>
      <c r="E39" s="154" t="s">
        <v>59</v>
      </c>
      <c r="F39" s="165" t="s">
        <v>128</v>
      </c>
      <c r="G39" s="154" t="s">
        <v>59</v>
      </c>
      <c r="H39" s="154" t="s">
        <v>59</v>
      </c>
      <c r="I39" s="155" t="s">
        <v>140</v>
      </c>
      <c r="J39" s="298">
        <f>(0.064+0.005)/2</f>
        <v>3.4500000000000003E-2</v>
      </c>
      <c r="K39" s="155" t="s">
        <v>252</v>
      </c>
      <c r="L39" s="460">
        <f>4000/29323</f>
        <v>0.13641169048187429</v>
      </c>
      <c r="M39" s="149" t="s">
        <v>132</v>
      </c>
      <c r="N39" s="149" t="s">
        <v>18</v>
      </c>
      <c r="O39" s="155" t="s">
        <v>265</v>
      </c>
      <c r="Q39" s="1"/>
    </row>
    <row r="40" spans="1:17" ht="30">
      <c r="A40" s="175">
        <v>37</v>
      </c>
      <c r="B40" s="111" t="s">
        <v>184</v>
      </c>
      <c r="C40" s="496" t="s">
        <v>552</v>
      </c>
      <c r="D40" s="168" t="s">
        <v>128</v>
      </c>
      <c r="E40" s="168" t="s">
        <v>128</v>
      </c>
      <c r="F40" s="168" t="s">
        <v>128</v>
      </c>
      <c r="G40" s="168" t="s">
        <v>128</v>
      </c>
      <c r="H40" s="169">
        <v>10</v>
      </c>
      <c r="I40" s="129" t="s">
        <v>135</v>
      </c>
      <c r="J40" s="299">
        <f>(0.28+0.15)/2</f>
        <v>0.21500000000000002</v>
      </c>
      <c r="K40" s="129" t="s">
        <v>252</v>
      </c>
      <c r="L40" s="467">
        <v>0</v>
      </c>
      <c r="M40" s="129" t="s">
        <v>137</v>
      </c>
      <c r="N40" s="129" t="s">
        <v>18</v>
      </c>
      <c r="O40" s="127" t="s">
        <v>253</v>
      </c>
    </row>
    <row r="41" spans="1:17" ht="31" thickBot="1">
      <c r="A41" s="179">
        <v>38</v>
      </c>
      <c r="B41" s="150" t="s">
        <v>185</v>
      </c>
      <c r="C41" s="495" t="s">
        <v>553</v>
      </c>
      <c r="D41" s="166" t="s">
        <v>128</v>
      </c>
      <c r="E41" s="166" t="s">
        <v>128</v>
      </c>
      <c r="F41" s="166" t="s">
        <v>128</v>
      </c>
      <c r="G41" s="166" t="s">
        <v>128</v>
      </c>
      <c r="H41" s="166" t="s">
        <v>128</v>
      </c>
      <c r="I41" s="135" t="s">
        <v>135</v>
      </c>
      <c r="J41" s="288">
        <f>(11.22+14.45)/2</f>
        <v>12.835000000000001</v>
      </c>
      <c r="K41" s="135" t="s">
        <v>252</v>
      </c>
      <c r="L41" s="466">
        <v>5.6000000000000001E-2</v>
      </c>
      <c r="M41" s="170" t="s">
        <v>186</v>
      </c>
      <c r="N41" s="170" t="s">
        <v>18</v>
      </c>
      <c r="O41" s="170" t="s">
        <v>253</v>
      </c>
    </row>
    <row r="42" spans="1:17" ht="30">
      <c r="A42" s="181">
        <v>39</v>
      </c>
      <c r="B42" s="152" t="s">
        <v>187</v>
      </c>
      <c r="C42" s="491" t="s">
        <v>572</v>
      </c>
      <c r="D42" s="165" t="s">
        <v>128</v>
      </c>
      <c r="E42" s="165" t="s">
        <v>128</v>
      </c>
      <c r="F42" s="165" t="s">
        <v>128</v>
      </c>
      <c r="G42" s="165" t="s">
        <v>128</v>
      </c>
      <c r="H42" s="165" t="s">
        <v>128</v>
      </c>
      <c r="I42" s="155" t="s">
        <v>129</v>
      </c>
      <c r="J42" s="298">
        <f>(0.69+0.28)/2</f>
        <v>0.48499999999999999</v>
      </c>
      <c r="K42" s="155" t="s">
        <v>251</v>
      </c>
      <c r="L42" s="465">
        <v>0</v>
      </c>
      <c r="M42" s="155" t="s">
        <v>136</v>
      </c>
      <c r="N42" s="155" t="s">
        <v>18</v>
      </c>
      <c r="O42" s="124" t="s">
        <v>253</v>
      </c>
    </row>
    <row r="43" spans="1:17" ht="30">
      <c r="A43" s="174">
        <v>40</v>
      </c>
      <c r="B43" s="126" t="s">
        <v>188</v>
      </c>
      <c r="C43" s="492" t="s">
        <v>573</v>
      </c>
      <c r="D43" s="168" t="s">
        <v>128</v>
      </c>
      <c r="E43" s="168" t="s">
        <v>128</v>
      </c>
      <c r="F43" s="168" t="s">
        <v>128</v>
      </c>
      <c r="G43" s="168" t="s">
        <v>128</v>
      </c>
      <c r="H43" s="169">
        <v>10</v>
      </c>
      <c r="I43" s="129" t="s">
        <v>135</v>
      </c>
      <c r="J43" s="299">
        <f>(0.33+0.31)/2</f>
        <v>0.32</v>
      </c>
      <c r="K43" s="129" t="s">
        <v>251</v>
      </c>
      <c r="L43" s="467">
        <v>0</v>
      </c>
      <c r="M43" s="129" t="s">
        <v>136</v>
      </c>
      <c r="N43" s="129" t="s">
        <v>18</v>
      </c>
      <c r="O43" s="127" t="s">
        <v>258</v>
      </c>
    </row>
    <row r="44" spans="1:17" ht="31" thickBot="1">
      <c r="A44" s="183">
        <v>41</v>
      </c>
      <c r="B44" s="172" t="s">
        <v>189</v>
      </c>
      <c r="C44" s="493" t="s">
        <v>574</v>
      </c>
      <c r="D44" s="166" t="s">
        <v>128</v>
      </c>
      <c r="E44" s="173" t="s">
        <v>60</v>
      </c>
      <c r="F44" s="184" t="s">
        <v>128</v>
      </c>
      <c r="G44" s="184" t="s">
        <v>128</v>
      </c>
      <c r="H44" s="173" t="s">
        <v>60</v>
      </c>
      <c r="I44" s="132" t="s">
        <v>129</v>
      </c>
      <c r="J44" s="300">
        <f>(1.06+1.27)/2</f>
        <v>1.165</v>
      </c>
      <c r="K44" s="132" t="s">
        <v>251</v>
      </c>
      <c r="L44" s="133">
        <v>0.67</v>
      </c>
      <c r="M44" s="132" t="s">
        <v>136</v>
      </c>
      <c r="N44" s="132" t="s">
        <v>18</v>
      </c>
      <c r="O44" s="410" t="s">
        <v>270</v>
      </c>
    </row>
    <row r="45" spans="1:17" ht="31" thickBot="1">
      <c r="A45" s="185">
        <v>42</v>
      </c>
      <c r="B45" s="186" t="s">
        <v>190</v>
      </c>
      <c r="C45" s="499" t="s">
        <v>575</v>
      </c>
      <c r="D45" s="187" t="s">
        <v>60</v>
      </c>
      <c r="E45" s="190" t="s">
        <v>128</v>
      </c>
      <c r="F45" s="187" t="s">
        <v>60</v>
      </c>
      <c r="G45" s="187" t="s">
        <v>60</v>
      </c>
      <c r="H45" s="190">
        <v>10</v>
      </c>
      <c r="I45" s="188" t="s">
        <v>129</v>
      </c>
      <c r="J45" s="301">
        <f>0.37/2</f>
        <v>0.185</v>
      </c>
      <c r="K45" s="188" t="s">
        <v>252</v>
      </c>
      <c r="L45" s="189">
        <v>0</v>
      </c>
      <c r="M45" s="188" t="s">
        <v>152</v>
      </c>
      <c r="N45" s="188" t="s">
        <v>18</v>
      </c>
      <c r="O45" s="188" t="s">
        <v>55</v>
      </c>
    </row>
    <row r="49" spans="4:17">
      <c r="F49" s="323"/>
    </row>
    <row r="50" spans="4:17">
      <c r="F50" s="323"/>
    </row>
    <row r="53" spans="4:17">
      <c r="D53" s="27"/>
      <c r="E53" s="20"/>
      <c r="F53" s="20"/>
      <c r="G53" s="20"/>
      <c r="H53" s="20"/>
      <c r="K53" s="20"/>
      <c r="L53" s="20"/>
      <c r="M53" s="20"/>
      <c r="N53" s="20"/>
      <c r="P53" s="20"/>
      <c r="Q53" s="20"/>
    </row>
  </sheetData>
  <autoFilter ref="A3:O45"/>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zoomScale="60" zoomScaleNormal="60" zoomScalePageLayoutView="60" workbookViewId="0"/>
  </sheetViews>
  <sheetFormatPr baseColWidth="10" defaultRowHeight="15" x14ac:dyDescent="0"/>
  <cols>
    <col min="1" max="1" width="3.1640625" customWidth="1"/>
    <col min="2" max="2" width="55" customWidth="1"/>
    <col min="3" max="3" width="15" customWidth="1"/>
    <col min="4" max="4" width="6.83203125" customWidth="1"/>
    <col min="5" max="5" width="54" customWidth="1"/>
    <col min="6" max="6" width="14.83203125" customWidth="1"/>
    <col min="7" max="7" width="6.83203125" customWidth="1"/>
    <col min="8" max="8" width="55.83203125" customWidth="1"/>
    <col min="9" max="9" width="15.6640625" customWidth="1"/>
    <col min="13" max="13" width="16.6640625" customWidth="1"/>
    <col min="14" max="14" width="13.1640625" customWidth="1"/>
  </cols>
  <sheetData>
    <row r="1" spans="1:15" ht="18">
      <c r="A1" s="321"/>
      <c r="B1" s="552" t="s">
        <v>285</v>
      </c>
      <c r="C1" s="552"/>
      <c r="D1" s="321"/>
      <c r="E1" s="552" t="s">
        <v>286</v>
      </c>
      <c r="F1" s="552"/>
      <c r="G1" s="321"/>
      <c r="H1" s="552" t="s">
        <v>287</v>
      </c>
      <c r="I1" s="552"/>
    </row>
    <row r="2" spans="1:15" ht="18">
      <c r="A2" s="321"/>
      <c r="B2" s="322" t="s">
        <v>291</v>
      </c>
      <c r="C2" s="322" t="s">
        <v>292</v>
      </c>
      <c r="D2" s="321"/>
      <c r="E2" s="322" t="s">
        <v>291</v>
      </c>
      <c r="F2" s="322" t="s">
        <v>292</v>
      </c>
      <c r="G2" s="321"/>
      <c r="H2" s="322" t="s">
        <v>291</v>
      </c>
      <c r="I2" s="322" t="s">
        <v>292</v>
      </c>
      <c r="M2" t="s">
        <v>288</v>
      </c>
      <c r="N2" t="s">
        <v>289</v>
      </c>
      <c r="O2" t="s">
        <v>290</v>
      </c>
    </row>
    <row r="3" spans="1:15">
      <c r="A3" s="321"/>
      <c r="B3" s="551" t="s">
        <v>57</v>
      </c>
      <c r="C3" s="551"/>
      <c r="D3" s="321"/>
      <c r="E3" s="551" t="s">
        <v>57</v>
      </c>
      <c r="F3" s="551"/>
      <c r="G3" s="321"/>
      <c r="H3" s="551" t="s">
        <v>57</v>
      </c>
      <c r="I3" s="551"/>
      <c r="M3" t="s">
        <v>293</v>
      </c>
      <c r="N3" s="323">
        <f>C23</f>
        <v>177.25</v>
      </c>
      <c r="O3" s="324">
        <f>N3/N14</f>
        <v>0.18927279736117947</v>
      </c>
    </row>
    <row r="4" spans="1:15">
      <c r="A4" s="321">
        <v>1</v>
      </c>
      <c r="B4" s="321" t="s">
        <v>131</v>
      </c>
      <c r="C4" s="325">
        <f>'Quick-Scored Profiles'!J4</f>
        <v>0.01</v>
      </c>
      <c r="D4" s="321">
        <v>23</v>
      </c>
      <c r="E4" s="321" t="s">
        <v>14</v>
      </c>
      <c r="F4" s="325">
        <f>'Fully-Scored Profiles'!Z7</f>
        <v>0.04</v>
      </c>
      <c r="G4" s="321">
        <v>57</v>
      </c>
      <c r="H4" s="321" t="s">
        <v>19</v>
      </c>
      <c r="I4" s="331">
        <f>'Fully-Scored Profiles'!Z18</f>
        <v>12.33</v>
      </c>
      <c r="M4" t="s">
        <v>296</v>
      </c>
      <c r="N4">
        <f>C25</f>
        <v>0.15150000000000002</v>
      </c>
      <c r="O4" s="324">
        <f>N4/N14</f>
        <v>1.6177618505059912E-4</v>
      </c>
    </row>
    <row r="5" spans="1:15">
      <c r="A5" s="321">
        <v>2</v>
      </c>
      <c r="B5" s="321" t="s">
        <v>134</v>
      </c>
      <c r="C5" s="325">
        <f>'Quick-Scored Profiles'!J5</f>
        <v>0.13</v>
      </c>
      <c r="D5" s="321">
        <v>24</v>
      </c>
      <c r="E5" s="321" t="s">
        <v>15</v>
      </c>
      <c r="F5" s="325">
        <f>'Fully-Scored Profiles'!Z8</f>
        <v>2.5000000000000001E-2</v>
      </c>
      <c r="G5" s="321">
        <v>58</v>
      </c>
      <c r="H5" s="321" t="s">
        <v>29</v>
      </c>
      <c r="I5" s="331">
        <f>'Fully-Scored Profiles'!Z35</f>
        <v>81.02000000000001</v>
      </c>
      <c r="M5" t="s">
        <v>299</v>
      </c>
      <c r="N5" s="323">
        <f>C30</f>
        <v>0.80499999999999994</v>
      </c>
      <c r="O5" s="324">
        <f>N5/N14</f>
        <v>8.5960283145697868E-4</v>
      </c>
    </row>
    <row r="6" spans="1:15">
      <c r="A6">
        <v>3</v>
      </c>
      <c r="B6" s="321" t="s">
        <v>355</v>
      </c>
      <c r="C6" s="325">
        <f>'Quick-Scored Profiles'!J6</f>
        <v>0.57499999999999996</v>
      </c>
      <c r="D6" s="321">
        <v>25</v>
      </c>
      <c r="E6" s="321" t="s">
        <v>16</v>
      </c>
      <c r="F6" s="325">
        <f>'Fully-Scored Profiles'!Z9</f>
        <v>0.09</v>
      </c>
      <c r="G6" s="321">
        <v>59</v>
      </c>
      <c r="H6" s="321" t="s">
        <v>183</v>
      </c>
      <c r="I6" s="331">
        <f>'Quick-Scored Profiles'!J39</f>
        <v>3.4500000000000003E-2</v>
      </c>
      <c r="M6" t="s">
        <v>294</v>
      </c>
      <c r="N6" s="323">
        <f>F18</f>
        <v>97.914999999999992</v>
      </c>
      <c r="O6" s="324">
        <f>N6/N14</f>
        <v>0.10455653570448455</v>
      </c>
    </row>
    <row r="7" spans="1:15">
      <c r="A7" s="321">
        <v>4</v>
      </c>
      <c r="B7" s="321" t="s">
        <v>143</v>
      </c>
      <c r="C7" s="325">
        <f>'Quick-Scored Profiles'!J8</f>
        <v>6.6150000000000002</v>
      </c>
      <c r="D7" s="321">
        <v>26</v>
      </c>
      <c r="E7" s="321" t="s">
        <v>50</v>
      </c>
      <c r="F7" s="325">
        <f>'Fully-Scored Profiles'!Z10</f>
        <v>1.155</v>
      </c>
      <c r="G7" s="321">
        <v>60</v>
      </c>
      <c r="H7" s="321" t="s">
        <v>40</v>
      </c>
      <c r="I7" s="331">
        <f>'Fully-Scored Profiles'!Z49</f>
        <v>3.7250000000000001</v>
      </c>
      <c r="M7" t="s">
        <v>301</v>
      </c>
      <c r="N7">
        <f>F32</f>
        <v>12.197500000000002</v>
      </c>
      <c r="O7" s="324">
        <f>N7/N14</f>
        <v>1.3024851598380745E-2</v>
      </c>
    </row>
    <row r="8" spans="1:15">
      <c r="A8" s="321">
        <v>5</v>
      </c>
      <c r="B8" s="321" t="s">
        <v>147</v>
      </c>
      <c r="C8" s="325">
        <f>'Fully-Scored Profiles'!Z16</f>
        <v>3.86</v>
      </c>
      <c r="D8" s="321">
        <v>27</v>
      </c>
      <c r="E8" s="321" t="s">
        <v>142</v>
      </c>
      <c r="F8" s="325">
        <f>'Quick-Scored Profiles'!J7</f>
        <v>1.085</v>
      </c>
      <c r="G8" s="321"/>
      <c r="H8" s="328" t="s">
        <v>215</v>
      </c>
      <c r="I8" s="329">
        <f>SUM(I4:I7)</f>
        <v>97.109499999999997</v>
      </c>
      <c r="M8" t="s">
        <v>297</v>
      </c>
      <c r="N8">
        <f>F44</f>
        <v>202.01949999999999</v>
      </c>
      <c r="O8" s="324">
        <f>N8/N14</f>
        <v>0.21572240274474919</v>
      </c>
    </row>
    <row r="9" spans="1:15">
      <c r="A9" s="321">
        <v>6</v>
      </c>
      <c r="B9" s="321" t="s">
        <v>144</v>
      </c>
      <c r="C9" s="325">
        <f>'Quick-Scored Profiles'!J9</f>
        <v>2.29</v>
      </c>
      <c r="D9" s="346">
        <v>28</v>
      </c>
      <c r="E9" s="321" t="s">
        <v>21</v>
      </c>
      <c r="F9" s="325">
        <f>'Fully-Scored Profiles'!Z17</f>
        <v>2.96</v>
      </c>
      <c r="G9" s="321"/>
      <c r="H9" s="328"/>
      <c r="I9" s="329"/>
      <c r="M9" t="s">
        <v>298</v>
      </c>
      <c r="N9">
        <f>I42</f>
        <v>223.69400000000002</v>
      </c>
      <c r="O9" s="324">
        <f>N9/N14</f>
        <v>0.23886707550302783</v>
      </c>
    </row>
    <row r="10" spans="1:15">
      <c r="A10" s="321">
        <v>7</v>
      </c>
      <c r="B10" s="321" t="s">
        <v>145</v>
      </c>
      <c r="C10" s="325">
        <f>'Quick-Scored Profiles'!J10</f>
        <v>0.95500000000000007</v>
      </c>
      <c r="D10" s="321">
        <v>29</v>
      </c>
      <c r="E10" s="321" t="s">
        <v>20</v>
      </c>
      <c r="F10" s="325">
        <f>'Fully-Scored Profiles'!Z19</f>
        <v>41.349999999999994</v>
      </c>
      <c r="G10" s="321"/>
      <c r="H10" s="328"/>
      <c r="I10" s="329"/>
      <c r="M10" t="s">
        <v>295</v>
      </c>
      <c r="N10">
        <f>I8</f>
        <v>97.109499999999997</v>
      </c>
      <c r="O10" s="324">
        <f>N10/N14</f>
        <v>0.10369639895822542</v>
      </c>
    </row>
    <row r="11" spans="1:15">
      <c r="A11" s="321">
        <v>8</v>
      </c>
      <c r="B11" s="321" t="s">
        <v>166</v>
      </c>
      <c r="C11" s="331">
        <f>'Quick-Scored Profiles'!J23</f>
        <v>0.82000000000000006</v>
      </c>
      <c r="D11" s="346">
        <v>30</v>
      </c>
      <c r="E11" s="321" t="s">
        <v>165</v>
      </c>
      <c r="F11" s="331">
        <f>'Quick-Scored Profiles'!J22</f>
        <v>0.08</v>
      </c>
      <c r="G11" s="321"/>
      <c r="H11" s="330" t="s">
        <v>300</v>
      </c>
      <c r="I11" s="326"/>
      <c r="M11" t="s">
        <v>303</v>
      </c>
      <c r="N11" s="323">
        <f>I18</f>
        <v>122.212</v>
      </c>
      <c r="O11" s="324">
        <f>N11/N14</f>
        <v>0.1305015916000252</v>
      </c>
    </row>
    <row r="12" spans="1:15">
      <c r="A12" s="321">
        <v>9</v>
      </c>
      <c r="B12" s="321" t="s">
        <v>167</v>
      </c>
      <c r="C12" s="331">
        <f>'Quick-Scored Profiles'!J24</f>
        <v>0.315</v>
      </c>
      <c r="D12" s="321">
        <v>31</v>
      </c>
      <c r="E12" s="321" t="s">
        <v>26</v>
      </c>
      <c r="F12" s="331">
        <f>'Fully-Scored Profiles'!Z30</f>
        <v>0.80499999999999994</v>
      </c>
      <c r="G12" s="321">
        <v>61</v>
      </c>
      <c r="H12" s="321" t="s">
        <v>17</v>
      </c>
      <c r="I12" s="329">
        <f>'Fully-Scored Profiles'!Z11</f>
        <v>0.69</v>
      </c>
      <c r="M12" t="s">
        <v>302</v>
      </c>
      <c r="N12">
        <f>I12</f>
        <v>0.69</v>
      </c>
      <c r="O12" s="324">
        <f>N12/N14</f>
        <v>7.3680242696312452E-4</v>
      </c>
    </row>
    <row r="13" spans="1:15">
      <c r="A13" s="321">
        <v>10</v>
      </c>
      <c r="B13" s="321" t="s">
        <v>168</v>
      </c>
      <c r="C13" s="331">
        <f>'Quick-Scored Profiles'!J25</f>
        <v>0.5</v>
      </c>
      <c r="D13" s="346">
        <v>32</v>
      </c>
      <c r="E13" s="321" t="s">
        <v>27</v>
      </c>
      <c r="F13" s="331">
        <f>'Fully-Scored Profiles'!Z31</f>
        <v>7.3599999999999994</v>
      </c>
      <c r="G13" s="321"/>
      <c r="H13" s="321"/>
      <c r="I13" s="329"/>
      <c r="M13" t="s">
        <v>358</v>
      </c>
      <c r="N13" s="323">
        <f>I23</f>
        <v>2.4350000000000001</v>
      </c>
      <c r="O13" s="324">
        <f>N13/N14</f>
        <v>2.6001650864568237E-3</v>
      </c>
    </row>
    <row r="14" spans="1:15">
      <c r="A14" s="321">
        <v>11</v>
      </c>
      <c r="B14" s="321" t="s">
        <v>169</v>
      </c>
      <c r="C14" s="331">
        <f>'Quick-Scored Profiles'!J26</f>
        <v>0.65</v>
      </c>
      <c r="D14" s="321">
        <v>33</v>
      </c>
      <c r="E14" s="321" t="s">
        <v>170</v>
      </c>
      <c r="F14" s="331">
        <f>'Quick-Scored Profiles'!J27</f>
        <v>0.83499999999999996</v>
      </c>
      <c r="G14" s="321"/>
      <c r="H14" s="551" t="s">
        <v>218</v>
      </c>
      <c r="I14" s="551"/>
      <c r="M14" s="19" t="s">
        <v>215</v>
      </c>
      <c r="N14" s="287">
        <f>SUM(N3:N13)</f>
        <v>936.47900000000004</v>
      </c>
    </row>
    <row r="15" spans="1:15">
      <c r="A15" s="321">
        <v>12</v>
      </c>
      <c r="B15" s="321" t="s">
        <v>172</v>
      </c>
      <c r="C15" s="331">
        <f>'Quick-Scored Profiles'!J28</f>
        <v>0.66500000000000004</v>
      </c>
      <c r="D15" s="346">
        <v>34</v>
      </c>
      <c r="E15" s="321" t="s">
        <v>175</v>
      </c>
      <c r="F15" s="331">
        <f>'Quick-Scored Profiles'!J31</f>
        <v>34.674999999999997</v>
      </c>
      <c r="G15" s="321">
        <v>62</v>
      </c>
      <c r="H15" s="321" t="s">
        <v>153</v>
      </c>
      <c r="I15" s="331">
        <f>'Quick-Scored Profiles'!J15</f>
        <v>97</v>
      </c>
    </row>
    <row r="16" spans="1:15">
      <c r="A16" s="321">
        <v>13</v>
      </c>
      <c r="B16" s="321" t="s">
        <v>173</v>
      </c>
      <c r="C16" s="331">
        <f>'Quick-Scored Profiles'!J29</f>
        <v>2.0449999999999999</v>
      </c>
      <c r="D16" s="321">
        <v>35</v>
      </c>
      <c r="E16" s="321" t="s">
        <v>39</v>
      </c>
      <c r="F16" s="331">
        <f>'Fully-Scored Profiles'!Z48</f>
        <v>5.0299999999999994</v>
      </c>
      <c r="G16" s="321">
        <v>63</v>
      </c>
      <c r="H16" s="321" t="s">
        <v>154</v>
      </c>
      <c r="I16" s="331">
        <f>'Quick-Scored Profiles'!J16</f>
        <v>14.462</v>
      </c>
    </row>
    <row r="17" spans="1:9">
      <c r="A17" s="321">
        <v>14</v>
      </c>
      <c r="B17" s="321" t="s">
        <v>174</v>
      </c>
      <c r="C17" s="331">
        <f>'Quick-Scored Profiles'!J30</f>
        <v>0.115</v>
      </c>
      <c r="D17" s="346">
        <v>36</v>
      </c>
      <c r="E17" s="321" t="s">
        <v>41</v>
      </c>
      <c r="F17" s="331">
        <f>'Fully-Scored Profiles'!Z50</f>
        <v>2.4249999999999998</v>
      </c>
      <c r="G17" s="321">
        <v>64</v>
      </c>
      <c r="H17" s="321" t="s">
        <v>155</v>
      </c>
      <c r="I17" s="331">
        <f>'Fully-Scored Profiles'!Z22</f>
        <v>10.75</v>
      </c>
    </row>
    <row r="18" spans="1:9">
      <c r="A18" s="321">
        <v>15</v>
      </c>
      <c r="B18" s="321" t="s">
        <v>30</v>
      </c>
      <c r="C18" s="331">
        <f>'Fully-Scored Profiles'!Z36</f>
        <v>88.08</v>
      </c>
      <c r="D18" s="321"/>
      <c r="E18" s="328" t="s">
        <v>215</v>
      </c>
      <c r="F18" s="332">
        <f>SUM(F4:F17)</f>
        <v>97.914999999999992</v>
      </c>
      <c r="G18" s="321"/>
      <c r="H18" s="328" t="s">
        <v>215</v>
      </c>
      <c r="I18" s="334">
        <f>SUM(I15:I17)</f>
        <v>122.212</v>
      </c>
    </row>
    <row r="19" spans="1:9">
      <c r="A19" s="321">
        <v>16</v>
      </c>
      <c r="B19" s="321" t="s">
        <v>37</v>
      </c>
      <c r="C19" s="331">
        <f>'Fully-Scored Profiles'!Z46</f>
        <v>47.69</v>
      </c>
    </row>
    <row r="20" spans="1:9">
      <c r="A20" s="321">
        <v>17</v>
      </c>
      <c r="B20" s="321" t="s">
        <v>38</v>
      </c>
      <c r="C20" s="331">
        <f>'Fully-Scored Profiles'!Z47</f>
        <v>8.8849999999999998</v>
      </c>
      <c r="D20" s="321"/>
      <c r="E20" s="551" t="s">
        <v>300</v>
      </c>
      <c r="F20" s="551"/>
      <c r="H20" s="344" t="s">
        <v>356</v>
      </c>
    </row>
    <row r="21" spans="1:9">
      <c r="A21" s="321">
        <v>18</v>
      </c>
      <c r="B21" s="321" t="s">
        <v>184</v>
      </c>
      <c r="C21" s="331">
        <f>'Quick-Scored Profiles'!J40</f>
        <v>0.21500000000000002</v>
      </c>
      <c r="D21" s="321">
        <v>37</v>
      </c>
      <c r="E21" s="321" t="s">
        <v>49</v>
      </c>
      <c r="F21" s="325">
        <f>'Fully-Scored Profiles'!Z12</f>
        <v>0.57499999999999996</v>
      </c>
      <c r="G21">
        <v>65</v>
      </c>
      <c r="H21" t="s">
        <v>51</v>
      </c>
      <c r="I21" s="345">
        <f>'Fully-Scored Profiles'!Z14</f>
        <v>2.3250000000000002</v>
      </c>
    </row>
    <row r="22" spans="1:9">
      <c r="A22" s="321">
        <v>19</v>
      </c>
      <c r="B22" s="321" t="s">
        <v>185</v>
      </c>
      <c r="C22" s="331">
        <f>'Quick-Scored Profiles'!J41</f>
        <v>12.835000000000001</v>
      </c>
      <c r="D22" s="321">
        <v>38</v>
      </c>
      <c r="E22" s="321" t="s">
        <v>148</v>
      </c>
      <c r="F22" s="342">
        <f>'Quick-Scored Profiles'!J11</f>
        <v>0.19500000000000001</v>
      </c>
      <c r="G22">
        <v>66</v>
      </c>
      <c r="H22" t="s">
        <v>357</v>
      </c>
      <c r="I22" s="345">
        <f>'Fully-Scored Profiles'!Z33</f>
        <v>0.11</v>
      </c>
    </row>
    <row r="23" spans="1:9">
      <c r="A23" s="321"/>
      <c r="B23" s="328" t="s">
        <v>215</v>
      </c>
      <c r="C23" s="334">
        <f>SUM(C4:C22)</f>
        <v>177.25</v>
      </c>
      <c r="D23" s="321">
        <v>39</v>
      </c>
      <c r="E23" s="321" t="s">
        <v>149</v>
      </c>
      <c r="F23" s="342">
        <f>'Quick-Scored Profiles'!J12</f>
        <v>2.17</v>
      </c>
      <c r="H23" s="328" t="s">
        <v>215</v>
      </c>
      <c r="I23" s="334">
        <f>SUM(I21:I22)</f>
        <v>2.4350000000000001</v>
      </c>
    </row>
    <row r="24" spans="1:9">
      <c r="A24" s="321"/>
      <c r="B24" s="551" t="s">
        <v>61</v>
      </c>
      <c r="C24" s="551"/>
      <c r="D24" s="321">
        <v>40</v>
      </c>
      <c r="E24" s="321" t="s">
        <v>150</v>
      </c>
      <c r="F24" s="342">
        <f>'Quick-Scored Profiles'!J13</f>
        <v>1.115</v>
      </c>
    </row>
    <row r="25" spans="1:9">
      <c r="A25" s="321">
        <v>20</v>
      </c>
      <c r="B25" s="321" t="s">
        <v>180</v>
      </c>
      <c r="C25" s="332">
        <f>'Quick-Scored Profiles'!J35</f>
        <v>0.15150000000000002</v>
      </c>
      <c r="D25" s="321">
        <v>41</v>
      </c>
      <c r="E25" s="321" t="s">
        <v>151</v>
      </c>
      <c r="F25" s="342">
        <f>'Quick-Scored Profiles'!J14</f>
        <v>0.42499999999999999</v>
      </c>
      <c r="G25" s="321"/>
      <c r="H25" s="551" t="s">
        <v>61</v>
      </c>
      <c r="I25" s="551"/>
    </row>
    <row r="26" spans="1:9" ht="30">
      <c r="A26" s="321"/>
      <c r="B26" s="321"/>
      <c r="C26" s="321"/>
      <c r="D26" s="321">
        <v>42</v>
      </c>
      <c r="E26" s="343" t="s">
        <v>28</v>
      </c>
      <c r="F26" s="331">
        <f>'Fully-Scored Profiles'!Z32</f>
        <v>1.1025</v>
      </c>
      <c r="G26" s="321">
        <v>67</v>
      </c>
      <c r="H26" s="321" t="s">
        <v>22</v>
      </c>
      <c r="I26" s="331">
        <f>'Fully-Scored Profiles'!Z24</f>
        <v>17.535</v>
      </c>
    </row>
    <row r="27" spans="1:9">
      <c r="A27" s="321"/>
      <c r="B27" s="551" t="s">
        <v>300</v>
      </c>
      <c r="C27" s="551"/>
      <c r="D27" s="321">
        <v>43</v>
      </c>
      <c r="E27" s="321" t="s">
        <v>176</v>
      </c>
      <c r="F27" s="331">
        <f>'Quick-Scored Profiles'!J32</f>
        <v>0.69499999999999995</v>
      </c>
      <c r="G27" s="321">
        <v>68</v>
      </c>
      <c r="H27" s="321" t="s">
        <v>54</v>
      </c>
      <c r="I27" s="331">
        <f>'Fully-Scored Profiles'!Z26</f>
        <v>32.655000000000001</v>
      </c>
    </row>
    <row r="28" spans="1:9">
      <c r="A28">
        <v>21</v>
      </c>
      <c r="B28" s="321" t="s">
        <v>187</v>
      </c>
      <c r="C28" s="331">
        <f>'Quick-Scored Profiles'!J42</f>
        <v>0.48499999999999999</v>
      </c>
      <c r="D28" s="321">
        <v>44</v>
      </c>
      <c r="E28" s="321" t="s">
        <v>177</v>
      </c>
      <c r="F28" s="331">
        <f>'Quick-Scored Profiles'!J33</f>
        <v>2.73</v>
      </c>
      <c r="G28" s="321">
        <v>69</v>
      </c>
      <c r="H28" s="321" t="s">
        <v>159</v>
      </c>
      <c r="I28" s="331">
        <f>'Quick-Scored Profiles'!J18</f>
        <v>1.77</v>
      </c>
    </row>
    <row r="29" spans="1:9">
      <c r="A29" s="321">
        <v>22</v>
      </c>
      <c r="B29" s="321" t="s">
        <v>188</v>
      </c>
      <c r="C29" s="331">
        <f>'Quick-Scored Profiles'!J43</f>
        <v>0.32</v>
      </c>
      <c r="D29" s="321">
        <v>45</v>
      </c>
      <c r="E29" s="321" t="s">
        <v>178</v>
      </c>
      <c r="F29" s="331">
        <f>'Quick-Scored Profiles'!J34</f>
        <v>1.66</v>
      </c>
      <c r="G29" s="321">
        <v>70</v>
      </c>
      <c r="H29" s="321" t="s">
        <v>160</v>
      </c>
      <c r="I29" s="331">
        <f>'Quick-Scored Profiles'!J19</f>
        <v>0.13</v>
      </c>
    </row>
    <row r="30" spans="1:9">
      <c r="A30" s="321"/>
      <c r="B30" s="328" t="s">
        <v>215</v>
      </c>
      <c r="C30" s="334">
        <f>SUM(C28:C29)</f>
        <v>0.80499999999999994</v>
      </c>
      <c r="D30" s="321">
        <v>46</v>
      </c>
      <c r="E30" s="321" t="s">
        <v>42</v>
      </c>
      <c r="F30" s="331">
        <f>'Fully-Scored Profiles'!Z52</f>
        <v>0.36499999999999999</v>
      </c>
      <c r="G30" s="321">
        <v>71</v>
      </c>
      <c r="H30" s="321" t="s">
        <v>161</v>
      </c>
      <c r="I30" s="331">
        <f>'Quick-Scored Profiles'!J20</f>
        <v>3.4550000000000001</v>
      </c>
    </row>
    <row r="31" spans="1:9">
      <c r="A31" s="321"/>
      <c r="B31" s="321"/>
      <c r="C31" s="321"/>
      <c r="D31" s="321">
        <v>47</v>
      </c>
      <c r="E31" s="321" t="s">
        <v>189</v>
      </c>
      <c r="F31" s="331">
        <f>'Quick-Scored Profiles'!J44</f>
        <v>1.165</v>
      </c>
      <c r="G31" s="321">
        <v>72</v>
      </c>
      <c r="H31" s="321" t="s">
        <v>162</v>
      </c>
      <c r="I31" s="331">
        <f>'Quick-Scored Profiles'!J21</f>
        <v>3.3600000000000003</v>
      </c>
    </row>
    <row r="32" spans="1:9">
      <c r="A32" s="321"/>
      <c r="B32" s="321"/>
      <c r="C32" s="321"/>
      <c r="D32" s="321"/>
      <c r="E32" s="328" t="s">
        <v>215</v>
      </c>
      <c r="F32" s="334">
        <f>SUM(F21:F31)</f>
        <v>12.197500000000002</v>
      </c>
      <c r="G32" s="321">
        <v>73</v>
      </c>
      <c r="H32" s="321" t="s">
        <v>24</v>
      </c>
      <c r="I32" s="331">
        <f>'Fully-Scored Profiles'!Z27</f>
        <v>27.810000000000002</v>
      </c>
    </row>
    <row r="33" spans="1:9">
      <c r="A33" s="321"/>
      <c r="B33" s="321"/>
      <c r="C33" s="321"/>
      <c r="D33" s="321"/>
      <c r="E33" s="328"/>
      <c r="F33" s="334"/>
      <c r="G33" s="321">
        <v>74</v>
      </c>
      <c r="H33" s="321" t="s">
        <v>25</v>
      </c>
      <c r="I33" s="331">
        <f>'Fully-Scored Profiles'!Z28</f>
        <v>14.355</v>
      </c>
    </row>
    <row r="34" spans="1:9">
      <c r="A34" s="321"/>
      <c r="B34" s="321"/>
      <c r="C34" s="321"/>
      <c r="D34" s="321"/>
      <c r="E34" s="551" t="s">
        <v>61</v>
      </c>
      <c r="F34" s="551"/>
      <c r="G34" s="321">
        <v>75</v>
      </c>
      <c r="H34" s="321" t="s">
        <v>31</v>
      </c>
      <c r="I34" s="331">
        <f>'Fully-Scored Profiles'!Z39</f>
        <v>2.1065</v>
      </c>
    </row>
    <row r="35" spans="1:9">
      <c r="A35" s="321"/>
      <c r="B35" s="321"/>
      <c r="C35" s="321"/>
      <c r="D35" s="321">
        <v>48</v>
      </c>
      <c r="E35" s="321" t="s">
        <v>157</v>
      </c>
      <c r="F35" s="331">
        <f>'Quick-Scored Profiles'!J17</f>
        <v>0.88</v>
      </c>
      <c r="G35" s="321">
        <v>76</v>
      </c>
      <c r="H35" s="321" t="s">
        <v>364</v>
      </c>
      <c r="I35" s="331">
        <f>'Quick-Scored Profiles'!J36</f>
        <v>13.065999999999999</v>
      </c>
    </row>
    <row r="36" spans="1:9">
      <c r="A36" s="321"/>
      <c r="B36" s="321"/>
      <c r="C36" s="321"/>
      <c r="D36" s="321">
        <v>49</v>
      </c>
      <c r="E36" s="321" t="s">
        <v>23</v>
      </c>
      <c r="F36" s="331">
        <f>'Fully-Scored Profiles'!Z25</f>
        <v>4.17</v>
      </c>
      <c r="G36" s="321">
        <v>77</v>
      </c>
      <c r="H36" s="321" t="s">
        <v>181</v>
      </c>
      <c r="I36" s="331">
        <f>'Quick-Scored Profiles'!J37</f>
        <v>1.65</v>
      </c>
    </row>
    <row r="37" spans="1:9">
      <c r="A37" s="321"/>
      <c r="B37" s="321"/>
      <c r="C37" s="321"/>
      <c r="D37" s="321">
        <v>50</v>
      </c>
      <c r="E37" s="321" t="s">
        <v>32</v>
      </c>
      <c r="F37" s="331">
        <f>'Fully-Scored Profiles'!Z40</f>
        <v>27.63</v>
      </c>
      <c r="G37" s="321">
        <v>78</v>
      </c>
      <c r="H37" s="321" t="s">
        <v>182</v>
      </c>
      <c r="I37" s="331">
        <f>'Quick-Scored Profiles'!J38</f>
        <v>1.4465000000000001</v>
      </c>
    </row>
    <row r="38" spans="1:9">
      <c r="A38" s="321"/>
      <c r="B38" s="321"/>
      <c r="C38" s="321"/>
      <c r="D38" s="321">
        <v>51</v>
      </c>
      <c r="E38" s="321" t="s">
        <v>33</v>
      </c>
      <c r="F38" s="331">
        <f>'Fully-Scored Profiles'!Z41</f>
        <v>20.005000000000003</v>
      </c>
      <c r="G38" s="321">
        <v>79</v>
      </c>
      <c r="H38" s="321" t="s">
        <v>35</v>
      </c>
      <c r="I38" s="331">
        <f>'Fully-Scored Profiles'!Z43</f>
        <v>93.105000000000004</v>
      </c>
    </row>
    <row r="39" spans="1:9">
      <c r="A39" s="321"/>
      <c r="B39" s="321"/>
      <c r="C39" s="321"/>
      <c r="D39" s="321">
        <v>52</v>
      </c>
      <c r="E39" s="321" t="s">
        <v>34</v>
      </c>
      <c r="F39" s="331">
        <f>'Fully-Scored Profiles'!Z42</f>
        <v>26.454999999999998</v>
      </c>
      <c r="G39" s="321">
        <v>80</v>
      </c>
      <c r="H39" s="321" t="s">
        <v>43</v>
      </c>
      <c r="I39" s="331">
        <f>'Fully-Scored Profiles'!Z56</f>
        <v>2.165</v>
      </c>
    </row>
    <row r="40" spans="1:9">
      <c r="A40" s="321"/>
      <c r="B40" s="321"/>
      <c r="C40" s="321"/>
      <c r="D40" s="321">
        <v>53</v>
      </c>
      <c r="E40" s="321" t="s">
        <v>36</v>
      </c>
      <c r="F40" s="331">
        <f>'Fully-Scored Profiles'!Z44</f>
        <v>79.154499999999999</v>
      </c>
      <c r="G40" s="321">
        <v>81</v>
      </c>
      <c r="H40" s="321" t="s">
        <v>44</v>
      </c>
      <c r="I40" s="331">
        <f>'Fully-Scored Profiles'!Z57</f>
        <v>6.5250000000000004</v>
      </c>
    </row>
    <row r="41" spans="1:9">
      <c r="A41" s="321"/>
      <c r="B41" s="321"/>
      <c r="C41" s="321"/>
      <c r="D41" s="321">
        <v>54</v>
      </c>
      <c r="E41" s="321" t="s">
        <v>190</v>
      </c>
      <c r="F41" s="331">
        <f>'Quick-Scored Profiles'!J45</f>
        <v>0.185</v>
      </c>
      <c r="G41" s="346">
        <v>82</v>
      </c>
      <c r="H41" s="321" t="s">
        <v>47</v>
      </c>
      <c r="I41" s="331">
        <f>'Fully-Scored Profiles'!Z58</f>
        <v>2.56</v>
      </c>
    </row>
    <row r="42" spans="1:9">
      <c r="A42" s="321"/>
      <c r="B42" s="321"/>
      <c r="C42" s="321"/>
      <c r="D42" s="321">
        <v>55</v>
      </c>
      <c r="E42" s="321" t="s">
        <v>45</v>
      </c>
      <c r="F42" s="331">
        <f>'Fully-Scored Profiles'!Z54</f>
        <v>15.209999999999999</v>
      </c>
      <c r="G42" s="321"/>
      <c r="H42" s="328" t="s">
        <v>215</v>
      </c>
      <c r="I42" s="329">
        <f>SUM(I26:I41)</f>
        <v>223.69400000000002</v>
      </c>
    </row>
    <row r="43" spans="1:9">
      <c r="A43" s="321"/>
      <c r="B43" s="321"/>
      <c r="C43" s="321"/>
      <c r="D43" s="321">
        <v>56</v>
      </c>
      <c r="E43" s="321" t="s">
        <v>46</v>
      </c>
      <c r="F43" s="331">
        <f>'Fully-Scored Profiles'!Z55</f>
        <v>28.33</v>
      </c>
      <c r="G43" s="321"/>
      <c r="H43" s="321"/>
      <c r="I43" s="321"/>
    </row>
    <row r="44" spans="1:9">
      <c r="A44" s="321"/>
      <c r="B44" s="321"/>
      <c r="C44" s="321"/>
      <c r="D44" s="321"/>
      <c r="E44" s="328" t="s">
        <v>215</v>
      </c>
      <c r="F44" s="329">
        <f>SUM(F35:F43)</f>
        <v>202.01949999999999</v>
      </c>
      <c r="G44" s="321"/>
      <c r="H44" s="321"/>
      <c r="I44" s="321"/>
    </row>
    <row r="45" spans="1:9">
      <c r="A45" s="321"/>
      <c r="B45" s="321"/>
      <c r="C45" s="321"/>
      <c r="D45" s="321"/>
      <c r="E45" s="321"/>
      <c r="F45" s="321"/>
      <c r="G45" s="321"/>
      <c r="H45" s="321"/>
      <c r="I45" s="321"/>
    </row>
    <row r="46" spans="1:9">
      <c r="A46" s="321"/>
      <c r="B46" s="321"/>
      <c r="C46" s="321"/>
      <c r="D46" s="321"/>
      <c r="E46" s="321"/>
      <c r="F46" s="321"/>
      <c r="G46" s="321"/>
      <c r="H46" s="321"/>
      <c r="I46" s="321"/>
    </row>
    <row r="47" spans="1:9">
      <c r="A47" s="321"/>
      <c r="B47" s="321"/>
      <c r="C47" s="321"/>
      <c r="G47" s="321"/>
      <c r="H47" s="321"/>
      <c r="I47" s="321"/>
    </row>
    <row r="48" spans="1:9">
      <c r="G48" s="321"/>
      <c r="H48" s="321"/>
      <c r="I48" s="321"/>
    </row>
  </sheetData>
  <mergeCells count="12">
    <mergeCell ref="E34:F34"/>
    <mergeCell ref="B1:C1"/>
    <mergeCell ref="E1:F1"/>
    <mergeCell ref="H1:I1"/>
    <mergeCell ref="B3:C3"/>
    <mergeCell ref="E3:F3"/>
    <mergeCell ref="H3:I3"/>
    <mergeCell ref="H14:I14"/>
    <mergeCell ref="H25:I25"/>
    <mergeCell ref="E20:F20"/>
    <mergeCell ref="B24:C24"/>
    <mergeCell ref="B27:C27"/>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7"/>
  <sheetViews>
    <sheetView zoomScale="60" zoomScaleNormal="60" zoomScalePageLayoutView="60" workbookViewId="0"/>
  </sheetViews>
  <sheetFormatPr baseColWidth="10" defaultRowHeight="15" x14ac:dyDescent="0"/>
  <cols>
    <col min="1" max="1" width="4.1640625" customWidth="1"/>
    <col min="2" max="2" width="57.6640625" customWidth="1"/>
    <col min="3" max="3" width="17.5" customWidth="1"/>
    <col min="4" max="4" width="8" customWidth="1"/>
    <col min="5" max="5" width="52.6640625" customWidth="1"/>
    <col min="6" max="6" width="17.6640625" customWidth="1"/>
    <col min="7" max="7" width="7.33203125" customWidth="1"/>
    <col min="8" max="8" width="52.83203125" customWidth="1"/>
    <col min="9" max="9" width="16.6640625" customWidth="1"/>
    <col min="12" max="12" width="17.5" customWidth="1"/>
    <col min="27" max="27" width="29.1640625" customWidth="1"/>
  </cols>
  <sheetData>
    <row r="1" spans="1:29" ht="18">
      <c r="A1" s="321"/>
      <c r="B1" s="552" t="s">
        <v>285</v>
      </c>
      <c r="C1" s="552"/>
      <c r="D1" s="321"/>
      <c r="E1" s="552" t="s">
        <v>286</v>
      </c>
      <c r="F1" s="552"/>
      <c r="G1" s="321"/>
      <c r="H1" s="552" t="s">
        <v>287</v>
      </c>
      <c r="I1" s="552"/>
      <c r="L1" s="1" t="s">
        <v>304</v>
      </c>
      <c r="M1" s="1" t="s">
        <v>289</v>
      </c>
      <c r="N1" s="1" t="s">
        <v>305</v>
      </c>
      <c r="R1" t="s">
        <v>306</v>
      </c>
      <c r="AA1" s="1" t="s">
        <v>451</v>
      </c>
      <c r="AB1" s="1" t="s">
        <v>289</v>
      </c>
      <c r="AC1" s="1" t="s">
        <v>452</v>
      </c>
    </row>
    <row r="2" spans="1:29" ht="31">
      <c r="A2" s="321"/>
      <c r="B2" s="322" t="s">
        <v>291</v>
      </c>
      <c r="C2" s="322" t="s">
        <v>292</v>
      </c>
      <c r="D2" s="321"/>
      <c r="E2" s="322" t="s">
        <v>291</v>
      </c>
      <c r="F2" s="322" t="s">
        <v>292</v>
      </c>
      <c r="G2" s="321"/>
      <c r="H2" s="322" t="s">
        <v>291</v>
      </c>
      <c r="I2" s="322" t="s">
        <v>292</v>
      </c>
      <c r="L2" t="s">
        <v>307</v>
      </c>
      <c r="M2" s="323">
        <f>C9</f>
        <v>0.71499999999999997</v>
      </c>
      <c r="N2" s="324">
        <f>M2/(SUM(M2:M6))</f>
        <v>0.12988192552225247</v>
      </c>
      <c r="R2" s="174"/>
      <c r="S2" s="50" t="s">
        <v>135</v>
      </c>
      <c r="T2" s="50" t="s">
        <v>129</v>
      </c>
      <c r="U2" s="50" t="s">
        <v>140</v>
      </c>
      <c r="AA2" s="17" t="s">
        <v>456</v>
      </c>
      <c r="AB2" s="323">
        <f>SUM(F29, F9)</f>
        <v>8.5149999999999988</v>
      </c>
      <c r="AC2" s="324">
        <f t="shared" ref="AC2:AC7" si="0">AB2/AB$8</f>
        <v>0.32422655878153256</v>
      </c>
    </row>
    <row r="3" spans="1:29" ht="30">
      <c r="A3" s="321"/>
      <c r="B3" s="551" t="s">
        <v>308</v>
      </c>
      <c r="C3" s="551"/>
      <c r="D3" s="321"/>
      <c r="E3" s="551" t="s">
        <v>308</v>
      </c>
      <c r="F3" s="551"/>
      <c r="G3" s="321"/>
      <c r="H3" s="551" t="s">
        <v>309</v>
      </c>
      <c r="I3" s="551"/>
      <c r="L3" t="s">
        <v>310</v>
      </c>
      <c r="M3" s="323">
        <f>SUM(F4:F9)</f>
        <v>1.325</v>
      </c>
      <c r="N3" s="324">
        <f>M3/(SUM(M2:M6))</f>
        <v>0.24069028156221611</v>
      </c>
      <c r="R3" s="174" t="s">
        <v>57</v>
      </c>
      <c r="S3" s="335">
        <f>M2</f>
        <v>0.71499999999999997</v>
      </c>
      <c r="T3" s="335">
        <f>M3</f>
        <v>1.325</v>
      </c>
      <c r="U3" s="50" t="s">
        <v>18</v>
      </c>
      <c r="AA3" s="17" t="s">
        <v>455</v>
      </c>
      <c r="AB3" s="323">
        <f>SUM(F11, F32)</f>
        <v>1.6775</v>
      </c>
      <c r="AC3" s="324">
        <f t="shared" si="0"/>
        <v>6.3874345549738226E-2</v>
      </c>
    </row>
    <row r="4" spans="1:29" ht="45">
      <c r="A4" s="321">
        <v>1</v>
      </c>
      <c r="B4" s="321" t="s">
        <v>131</v>
      </c>
      <c r="C4" s="342">
        <f>'Quick-Scored Profiles'!J4</f>
        <v>0.01</v>
      </c>
      <c r="D4" s="321">
        <v>23</v>
      </c>
      <c r="E4" s="321" t="s">
        <v>14</v>
      </c>
      <c r="F4" s="325">
        <f>'Fully-Scored Profiles'!Z7</f>
        <v>0.04</v>
      </c>
      <c r="G4" s="321">
        <v>57</v>
      </c>
      <c r="H4" s="321" t="s">
        <v>17</v>
      </c>
      <c r="I4" s="342">
        <f>'Fully-Scored Profiles'!Z13</f>
        <v>0.56499999999999995</v>
      </c>
      <c r="L4" t="s">
        <v>311</v>
      </c>
      <c r="M4" s="323">
        <f>F11</f>
        <v>0.57499999999999996</v>
      </c>
      <c r="N4" s="324">
        <f>M4/(SUM(M2:M6))</f>
        <v>0.10445049954586737</v>
      </c>
      <c r="R4" s="174" t="s">
        <v>58</v>
      </c>
      <c r="S4" s="50" t="s">
        <v>18</v>
      </c>
      <c r="T4" s="335">
        <f>M4</f>
        <v>0.57499999999999996</v>
      </c>
      <c r="U4" s="174">
        <f>I4</f>
        <v>0.56499999999999995</v>
      </c>
      <c r="AA4" s="17" t="s">
        <v>457</v>
      </c>
      <c r="AB4" s="323">
        <f>I4</f>
        <v>0.56499999999999995</v>
      </c>
      <c r="AC4" s="324">
        <f t="shared" si="0"/>
        <v>2.151356496906235E-2</v>
      </c>
    </row>
    <row r="5" spans="1:29" ht="30">
      <c r="A5" s="321"/>
      <c r="B5" s="321"/>
      <c r="C5" s="342"/>
      <c r="D5" s="321"/>
      <c r="E5" s="321"/>
      <c r="F5" s="325"/>
      <c r="G5" s="321"/>
      <c r="H5" s="551" t="s">
        <v>362</v>
      </c>
      <c r="I5" s="551"/>
      <c r="L5" s="321" t="s">
        <v>312</v>
      </c>
      <c r="M5" s="347">
        <f>I4</f>
        <v>0.56499999999999995</v>
      </c>
      <c r="N5" s="338">
        <f>M5/(SUM(M2:M6))</f>
        <v>0.10263396911898272</v>
      </c>
      <c r="R5" s="174" t="s">
        <v>217</v>
      </c>
      <c r="S5" s="50" t="s">
        <v>18</v>
      </c>
      <c r="T5" s="114" t="s">
        <v>18</v>
      </c>
      <c r="U5" s="335">
        <f>M6</f>
        <v>2.3250000000000002</v>
      </c>
      <c r="AA5" s="17" t="s">
        <v>458</v>
      </c>
      <c r="AB5" s="323">
        <f>SUM(I16, I44)</f>
        <v>9.8850000000000016</v>
      </c>
      <c r="AC5" s="324">
        <f t="shared" si="0"/>
        <v>0.37639219419324138</v>
      </c>
    </row>
    <row r="6" spans="1:29" ht="45">
      <c r="A6" s="321">
        <v>2</v>
      </c>
      <c r="B6" s="321" t="s">
        <v>134</v>
      </c>
      <c r="C6" s="325">
        <f>'Quick-Scored Profiles'!J5</f>
        <v>0.13</v>
      </c>
      <c r="D6" s="321">
        <v>24</v>
      </c>
      <c r="E6" s="321" t="s">
        <v>15</v>
      </c>
      <c r="F6" s="325">
        <f>'Fully-Scored Profiles'!Z7</f>
        <v>0.04</v>
      </c>
      <c r="G6" s="321">
        <v>58</v>
      </c>
      <c r="H6" t="s">
        <v>51</v>
      </c>
      <c r="I6" s="325">
        <f>'Fully-Scored Profiles'!Z14</f>
        <v>2.3250000000000002</v>
      </c>
      <c r="L6" s="336" t="s">
        <v>366</v>
      </c>
      <c r="M6" s="339">
        <f>I6</f>
        <v>2.3250000000000002</v>
      </c>
      <c r="N6" s="337">
        <f>M6/(SUM(M2:M6))</f>
        <v>0.42234332425068116</v>
      </c>
      <c r="AA6" s="17" t="s">
        <v>459</v>
      </c>
      <c r="AB6" s="323">
        <f>SUM(I15, I43)</f>
        <v>5.62</v>
      </c>
      <c r="AC6" s="324">
        <f t="shared" si="0"/>
        <v>0.21399333650642552</v>
      </c>
    </row>
    <row r="7" spans="1:29" ht="45">
      <c r="A7" s="321">
        <v>3</v>
      </c>
      <c r="B7" s="321" t="s">
        <v>355</v>
      </c>
      <c r="C7" s="325">
        <f>'Quick-Scored Profiles'!J6</f>
        <v>0.57499999999999996</v>
      </c>
      <c r="D7" s="321">
        <v>25</v>
      </c>
      <c r="E7" s="321" t="s">
        <v>16</v>
      </c>
      <c r="F7" s="325">
        <f>'Fully-Scored Profiles'!Z9</f>
        <v>0.09</v>
      </c>
      <c r="G7" s="321"/>
      <c r="H7" s="328" t="s">
        <v>215</v>
      </c>
      <c r="I7" s="334">
        <f>SUM(I4:I6)</f>
        <v>2.89</v>
      </c>
      <c r="L7" t="s">
        <v>314</v>
      </c>
      <c r="M7" s="323">
        <f>C15</f>
        <v>13.72</v>
      </c>
      <c r="N7" s="324">
        <f>M7/(SUM(M7:M14))</f>
        <v>4.5328848904938268E-2</v>
      </c>
      <c r="R7" t="s">
        <v>315</v>
      </c>
      <c r="AA7" s="17" t="s">
        <v>460</v>
      </c>
      <c r="AB7" s="323">
        <f>SUM(I6, I28)</f>
        <v>2.4350000000000001</v>
      </c>
      <c r="AC7" s="324">
        <f t="shared" si="0"/>
        <v>9.2717753450737753E-2</v>
      </c>
    </row>
    <row r="8" spans="1:29">
      <c r="A8" s="321"/>
      <c r="B8" s="321"/>
      <c r="C8" s="325"/>
      <c r="D8" s="321"/>
      <c r="E8" s="321"/>
      <c r="F8" s="325"/>
      <c r="G8" s="321"/>
      <c r="H8" s="328"/>
      <c r="I8" s="334"/>
      <c r="M8" s="323"/>
      <c r="N8" s="324"/>
      <c r="AB8" s="323">
        <f>SUM(AB2:AB6)</f>
        <v>26.262499999999999</v>
      </c>
    </row>
    <row r="9" spans="1:29">
      <c r="A9" s="321"/>
      <c r="B9" s="328" t="s">
        <v>215</v>
      </c>
      <c r="C9" s="334">
        <f>SUM(C4:C7)</f>
        <v>0.71499999999999997</v>
      </c>
      <c r="D9" s="321">
        <v>26</v>
      </c>
      <c r="E9" s="321" t="s">
        <v>139</v>
      </c>
      <c r="F9" s="325">
        <f>'Fully-Scored Profiles'!Z10</f>
        <v>1.155</v>
      </c>
      <c r="G9" s="321"/>
      <c r="I9" s="325"/>
      <c r="L9" t="s">
        <v>317</v>
      </c>
      <c r="M9" s="323">
        <f>SUM(F14:F16)</f>
        <v>44.389999999999993</v>
      </c>
      <c r="N9" s="324">
        <f>M9/(SUM(M7:M14))</f>
        <v>0.14665798854884907</v>
      </c>
      <c r="R9" s="174"/>
      <c r="S9" s="50" t="s">
        <v>135</v>
      </c>
      <c r="T9" s="50" t="s">
        <v>129</v>
      </c>
      <c r="U9" s="50" t="s">
        <v>140</v>
      </c>
    </row>
    <row r="10" spans="1:29">
      <c r="A10" s="321"/>
      <c r="B10" s="551" t="s">
        <v>316</v>
      </c>
      <c r="C10" s="551"/>
      <c r="D10" s="321"/>
      <c r="E10" s="551" t="s">
        <v>319</v>
      </c>
      <c r="F10" s="551"/>
      <c r="G10" s="321"/>
      <c r="H10" s="551" t="s">
        <v>313</v>
      </c>
      <c r="I10" s="551"/>
      <c r="L10" t="s">
        <v>318</v>
      </c>
      <c r="M10" s="323">
        <f>SUM(F18:F21)</f>
        <v>3.9049999999999994</v>
      </c>
      <c r="N10" s="324">
        <f>M10/(SUM(M7:M14))</f>
        <v>1.2901541907710196E-2</v>
      </c>
      <c r="R10" s="174" t="s">
        <v>57</v>
      </c>
      <c r="S10" s="50">
        <v>11.65</v>
      </c>
      <c r="T10" s="50">
        <v>40.4</v>
      </c>
      <c r="U10" s="50">
        <v>9.9</v>
      </c>
    </row>
    <row r="11" spans="1:29">
      <c r="A11" s="321">
        <v>4</v>
      </c>
      <c r="B11" s="321" t="s">
        <v>143</v>
      </c>
      <c r="C11" s="325">
        <f>'Quick-Scored Profiles'!J8</f>
        <v>6.6150000000000002</v>
      </c>
      <c r="D11" s="321">
        <v>27</v>
      </c>
      <c r="E11" s="321" t="s">
        <v>49</v>
      </c>
      <c r="F11" s="325">
        <f>'Fully-Scored Profiles'!Z12</f>
        <v>0.57499999999999996</v>
      </c>
      <c r="G11" s="321">
        <v>59</v>
      </c>
      <c r="H11" s="321" t="s">
        <v>22</v>
      </c>
      <c r="I11" s="331">
        <f>'Fully-Scored Profiles'!Z24</f>
        <v>17.535</v>
      </c>
      <c r="L11" t="s">
        <v>320</v>
      </c>
      <c r="M11" s="323">
        <f>SUM(F23:F24)</f>
        <v>5.05</v>
      </c>
      <c r="N11" s="338">
        <f>M11/(SUM(M7:M14))</f>
        <v>1.6684452403056722E-2</v>
      </c>
      <c r="R11" s="174" t="s">
        <v>58</v>
      </c>
      <c r="S11" s="50" t="s">
        <v>18</v>
      </c>
      <c r="T11" s="50">
        <v>2.65</v>
      </c>
      <c r="U11" s="50" t="s">
        <v>18</v>
      </c>
    </row>
    <row r="12" spans="1:29">
      <c r="A12" s="321">
        <v>5</v>
      </c>
      <c r="B12" s="321" t="s">
        <v>147</v>
      </c>
      <c r="C12" s="325">
        <f>'Fully-Scored Profiles'!Z16</f>
        <v>3.86</v>
      </c>
      <c r="D12" s="321"/>
      <c r="E12" s="328" t="s">
        <v>215</v>
      </c>
      <c r="F12" s="334">
        <f>SUM(F4:F11)</f>
        <v>1.9</v>
      </c>
      <c r="G12" s="321">
        <v>60</v>
      </c>
      <c r="H12" s="321" t="s">
        <v>54</v>
      </c>
      <c r="I12" s="331">
        <f>'Fully-Scored Profiles'!Z26</f>
        <v>32.655000000000001</v>
      </c>
      <c r="L12" t="s">
        <v>321</v>
      </c>
      <c r="M12" s="323">
        <f>I20</f>
        <v>12.33</v>
      </c>
      <c r="N12" s="338">
        <f>M12/(SUM(M7:M14))</f>
        <v>4.0736494679146411E-2</v>
      </c>
      <c r="R12" s="174" t="s">
        <v>218</v>
      </c>
      <c r="S12" s="50" t="s">
        <v>18</v>
      </c>
      <c r="T12" s="50" t="s">
        <v>18</v>
      </c>
      <c r="U12" s="50">
        <v>146.69</v>
      </c>
    </row>
    <row r="13" spans="1:29">
      <c r="A13" s="321">
        <v>6</v>
      </c>
      <c r="B13" s="321" t="s">
        <v>144</v>
      </c>
      <c r="C13" s="325">
        <f>'Quick-Scored Profiles'!J9</f>
        <v>2.29</v>
      </c>
      <c r="D13" s="321"/>
      <c r="E13" s="551" t="s">
        <v>316</v>
      </c>
      <c r="F13" s="551"/>
      <c r="G13" s="321">
        <v>61</v>
      </c>
      <c r="H13" s="321" t="s">
        <v>159</v>
      </c>
      <c r="I13" s="331">
        <f>'Quick-Scored Profiles'!J18</f>
        <v>1.77</v>
      </c>
      <c r="L13" t="s">
        <v>322</v>
      </c>
      <c r="M13" s="323">
        <f>SUM(I11:I18)</f>
        <v>101.07000000000001</v>
      </c>
      <c r="N13" s="338">
        <f>M13/(SUM(M7:M14))</f>
        <v>0.33392031769840458</v>
      </c>
      <c r="R13" s="174" t="s">
        <v>61</v>
      </c>
      <c r="S13" s="50" t="s">
        <v>18</v>
      </c>
      <c r="T13" s="50">
        <v>5.79</v>
      </c>
      <c r="U13" s="50">
        <v>87.64</v>
      </c>
    </row>
    <row r="14" spans="1:29">
      <c r="A14" s="321">
        <v>7</v>
      </c>
      <c r="B14" s="321" t="s">
        <v>145</v>
      </c>
      <c r="C14" s="325">
        <f>'Quick-Scored Profiles'!J10</f>
        <v>0.95500000000000007</v>
      </c>
      <c r="D14" s="321">
        <v>28</v>
      </c>
      <c r="E14" s="321" t="s">
        <v>142</v>
      </c>
      <c r="F14" s="325">
        <f>'Quick-Scored Profiles'!J22</f>
        <v>0.08</v>
      </c>
      <c r="G14" s="321">
        <v>62</v>
      </c>
      <c r="H14" s="321" t="s">
        <v>160</v>
      </c>
      <c r="I14" s="331">
        <f>'Quick-Scored Profiles'!J19</f>
        <v>0.13</v>
      </c>
      <c r="L14" s="336" t="s">
        <v>323</v>
      </c>
      <c r="M14" s="339">
        <f>SUM(I22:I24)</f>
        <v>122.212</v>
      </c>
      <c r="N14" s="337">
        <f>M14/(SUM(M7:M14))</f>
        <v>0.40377035585789472</v>
      </c>
    </row>
    <row r="15" spans="1:29">
      <c r="A15" s="321"/>
      <c r="B15" s="328" t="s">
        <v>215</v>
      </c>
      <c r="C15" s="334">
        <f>SUM(C11:C14)</f>
        <v>13.72</v>
      </c>
      <c r="D15" s="321">
        <v>29</v>
      </c>
      <c r="E15" s="321" t="s">
        <v>21</v>
      </c>
      <c r="F15" s="325">
        <f>'Fully-Scored Profiles'!Z17</f>
        <v>2.96</v>
      </c>
      <c r="G15" s="321">
        <v>63</v>
      </c>
      <c r="H15" s="321" t="s">
        <v>161</v>
      </c>
      <c r="I15" s="331">
        <f>'Quick-Scored Profiles'!J20</f>
        <v>3.4550000000000001</v>
      </c>
      <c r="L15" t="s">
        <v>325</v>
      </c>
      <c r="M15" s="323">
        <f>C21</f>
        <v>2.2850000000000001</v>
      </c>
      <c r="N15" s="324">
        <f>M15/(SUM(M15:M18))</f>
        <v>0.1816736235340887</v>
      </c>
      <c r="R15" t="s">
        <v>326</v>
      </c>
    </row>
    <row r="16" spans="1:29">
      <c r="A16" s="321"/>
      <c r="B16" s="551" t="s">
        <v>324</v>
      </c>
      <c r="C16" s="551"/>
      <c r="D16" s="321">
        <v>30</v>
      </c>
      <c r="E16" s="321" t="s">
        <v>20</v>
      </c>
      <c r="F16" s="325">
        <f>'Fully-Scored Profiles'!Z19</f>
        <v>41.349999999999994</v>
      </c>
      <c r="G16" s="321">
        <v>64</v>
      </c>
      <c r="H16" s="321" t="s">
        <v>162</v>
      </c>
      <c r="I16" s="331">
        <f>'Quick-Scored Profiles'!J21</f>
        <v>3.3600000000000003</v>
      </c>
      <c r="L16" t="s">
        <v>327</v>
      </c>
      <c r="M16" s="323">
        <f>SUM(F27:F30)</f>
        <v>9.0799999999999983</v>
      </c>
      <c r="N16" s="338">
        <f>M16/(SUM(M15:M18))</f>
        <v>0.72192407076128007</v>
      </c>
      <c r="R16" s="174"/>
      <c r="S16" s="50" t="s">
        <v>135</v>
      </c>
      <c r="T16" s="50" t="s">
        <v>129</v>
      </c>
      <c r="U16" s="50" t="s">
        <v>140</v>
      </c>
    </row>
    <row r="17" spans="1:21">
      <c r="A17" s="321">
        <v>8</v>
      </c>
      <c r="B17" s="321" t="s">
        <v>166</v>
      </c>
      <c r="C17" s="331">
        <f>'Quick-Scored Profiles'!J23</f>
        <v>0.82000000000000006</v>
      </c>
      <c r="D17" s="321"/>
      <c r="E17" s="551" t="s">
        <v>329</v>
      </c>
      <c r="F17" s="551"/>
      <c r="G17" s="321">
        <v>65</v>
      </c>
      <c r="H17" s="321" t="s">
        <v>24</v>
      </c>
      <c r="I17" s="331">
        <f>'Fully-Scored Profiles'!Z27</f>
        <v>27.810000000000002</v>
      </c>
      <c r="L17" t="s">
        <v>328</v>
      </c>
      <c r="M17" s="323">
        <f>F32</f>
        <v>1.1025</v>
      </c>
      <c r="N17" s="338">
        <f>M17/(SUM(M15:M18))</f>
        <v>8.7656529516994652E-2</v>
      </c>
      <c r="R17" s="174" t="s">
        <v>57</v>
      </c>
      <c r="S17" s="50">
        <v>10.52</v>
      </c>
      <c r="T17" s="50">
        <v>1.44</v>
      </c>
      <c r="U17" s="348" t="s">
        <v>18</v>
      </c>
    </row>
    <row r="18" spans="1:21">
      <c r="A18" s="321">
        <v>9</v>
      </c>
      <c r="B18" s="321" t="s">
        <v>167</v>
      </c>
      <c r="C18" s="331">
        <f>'Quick-Scored Profiles'!J24</f>
        <v>0.315</v>
      </c>
      <c r="D18" s="321">
        <v>31</v>
      </c>
      <c r="E18" s="321" t="s">
        <v>148</v>
      </c>
      <c r="F18" s="342">
        <f>'Quick-Scored Profiles'!J11</f>
        <v>0.19500000000000001</v>
      </c>
      <c r="G18" s="321">
        <v>66</v>
      </c>
      <c r="H18" s="321" t="s">
        <v>25</v>
      </c>
      <c r="I18" s="331">
        <f>'Fully-Scored Profiles'!Z28</f>
        <v>14.355</v>
      </c>
      <c r="L18" s="336" t="s">
        <v>367</v>
      </c>
      <c r="M18" s="339">
        <f>I28</f>
        <v>0.11</v>
      </c>
      <c r="N18" s="337">
        <f>M18/(SUM(M15:M18))</f>
        <v>8.7457761876366547E-3</v>
      </c>
      <c r="R18" s="174" t="s">
        <v>58</v>
      </c>
      <c r="S18" s="50" t="s">
        <v>18</v>
      </c>
      <c r="T18" s="50">
        <v>0.62</v>
      </c>
      <c r="U18" s="348" t="s">
        <v>18</v>
      </c>
    </row>
    <row r="19" spans="1:21">
      <c r="A19" s="321">
        <v>10</v>
      </c>
      <c r="B19" s="321" t="s">
        <v>168</v>
      </c>
      <c r="C19" s="331">
        <f>'Quick-Scored Profiles'!J25</f>
        <v>0.5</v>
      </c>
      <c r="D19" s="321">
        <v>32</v>
      </c>
      <c r="E19" s="321" t="s">
        <v>149</v>
      </c>
      <c r="F19" s="342">
        <f>'Quick-Scored Profiles'!J12</f>
        <v>2.17</v>
      </c>
      <c r="G19" s="321"/>
      <c r="H19" s="551" t="s">
        <v>316</v>
      </c>
      <c r="I19" s="551"/>
      <c r="L19" t="s">
        <v>330</v>
      </c>
      <c r="M19" s="323">
        <f>SUM(C23:C26)</f>
        <v>90.905000000000001</v>
      </c>
      <c r="N19" s="324">
        <f>M19/(SUM(M19:M25))</f>
        <v>0.1907945136476687</v>
      </c>
      <c r="R19" s="174" t="s">
        <v>217</v>
      </c>
      <c r="S19" s="50" t="s">
        <v>18</v>
      </c>
      <c r="T19" s="50" t="s">
        <v>18</v>
      </c>
      <c r="U19" s="349">
        <f>M18</f>
        <v>0.11</v>
      </c>
    </row>
    <row r="20" spans="1:21">
      <c r="A20" s="321">
        <v>11</v>
      </c>
      <c r="B20" s="321" t="s">
        <v>169</v>
      </c>
      <c r="C20" s="331">
        <f>'Quick-Scored Profiles'!J26</f>
        <v>0.65</v>
      </c>
      <c r="D20" s="321">
        <v>33</v>
      </c>
      <c r="E20" s="321" t="s">
        <v>150</v>
      </c>
      <c r="F20" s="342">
        <f>'Quick-Scored Profiles'!J13</f>
        <v>1.115</v>
      </c>
      <c r="G20" s="321">
        <v>67</v>
      </c>
      <c r="H20" s="321" t="s">
        <v>19</v>
      </c>
      <c r="I20" s="331">
        <f>'Fully-Scored Profiles'!Z18</f>
        <v>12.33</v>
      </c>
      <c r="L20" t="s">
        <v>332</v>
      </c>
      <c r="M20" s="323">
        <f>C28</f>
        <v>0.15150000000000002</v>
      </c>
      <c r="N20" s="324">
        <f>M20/(SUM(M19:M25))</f>
        <v>3.1797336579530072E-4</v>
      </c>
    </row>
    <row r="21" spans="1:21">
      <c r="A21" s="321"/>
      <c r="B21" s="328" t="s">
        <v>215</v>
      </c>
      <c r="C21" s="332">
        <f>SUM(C17:C20)</f>
        <v>2.2850000000000001</v>
      </c>
      <c r="D21" s="321">
        <v>34</v>
      </c>
      <c r="E21" s="321" t="s">
        <v>151</v>
      </c>
      <c r="F21" s="342">
        <f>'Quick-Scored Profiles'!J14</f>
        <v>0.42499999999999999</v>
      </c>
      <c r="G21" s="321"/>
      <c r="H21" s="551" t="s">
        <v>331</v>
      </c>
      <c r="I21" s="551"/>
      <c r="L21" t="s">
        <v>333</v>
      </c>
      <c r="M21" s="323">
        <f>F35</f>
        <v>34.674999999999997</v>
      </c>
      <c r="N21" s="338">
        <f>M21/(SUM(M19:M25))</f>
        <v>7.2777072336317167E-2</v>
      </c>
      <c r="R21" t="s">
        <v>334</v>
      </c>
    </row>
    <row r="22" spans="1:21">
      <c r="A22" s="321"/>
      <c r="B22" s="551" t="s">
        <v>336</v>
      </c>
      <c r="C22" s="551"/>
      <c r="D22" s="321"/>
      <c r="E22" s="551" t="s">
        <v>313</v>
      </c>
      <c r="F22" s="551"/>
      <c r="G22" s="321">
        <v>68</v>
      </c>
      <c r="H22" s="321" t="s">
        <v>153</v>
      </c>
      <c r="I22" s="331">
        <f>'Quick-Scored Profiles'!J15</f>
        <v>97</v>
      </c>
      <c r="L22" t="s">
        <v>335</v>
      </c>
      <c r="M22" s="323">
        <f>SUM(F37:F40)</f>
        <v>153.24450000000002</v>
      </c>
      <c r="N22" s="338">
        <f>M22/(SUM(M19:M25))</f>
        <v>0.3216347818786664</v>
      </c>
      <c r="R22" s="174"/>
      <c r="S22" s="50" t="s">
        <v>135</v>
      </c>
      <c r="T22" s="50" t="s">
        <v>129</v>
      </c>
      <c r="U22" s="50" t="s">
        <v>140</v>
      </c>
    </row>
    <row r="23" spans="1:21">
      <c r="A23" s="321">
        <v>12</v>
      </c>
      <c r="B23" s="321" t="s">
        <v>172</v>
      </c>
      <c r="C23" s="331">
        <f>'Quick-Scored Profiles'!J28</f>
        <v>0.66500000000000004</v>
      </c>
      <c r="D23" s="321">
        <v>35</v>
      </c>
      <c r="E23" s="321" t="s">
        <v>157</v>
      </c>
      <c r="F23" s="331">
        <f>'Quick-Scored Profiles'!J17</f>
        <v>0.88</v>
      </c>
      <c r="G23" s="321">
        <v>69</v>
      </c>
      <c r="H23" s="321" t="s">
        <v>154</v>
      </c>
      <c r="I23" s="331">
        <f>'Quick-Scored Profiles'!J16</f>
        <v>14.462</v>
      </c>
      <c r="L23" t="s">
        <v>337</v>
      </c>
      <c r="M23" s="323">
        <f>SUM(F42:F44)</f>
        <v>5.085</v>
      </c>
      <c r="N23" s="338">
        <f>M23/(SUM(M19:M25))</f>
        <v>1.0672571386594746E-2</v>
      </c>
      <c r="R23" s="174" t="s">
        <v>57</v>
      </c>
      <c r="S23" s="50">
        <f>M19</f>
        <v>90.905000000000001</v>
      </c>
      <c r="T23" s="50">
        <f>M21</f>
        <v>34.674999999999997</v>
      </c>
      <c r="U23" s="50">
        <f>M24</f>
        <v>81.02000000000001</v>
      </c>
    </row>
    <row r="24" spans="1:21">
      <c r="A24" s="321">
        <v>13</v>
      </c>
      <c r="B24" s="321" t="s">
        <v>173</v>
      </c>
      <c r="C24" s="331">
        <f>'Quick-Scored Profiles'!J29</f>
        <v>2.0449999999999999</v>
      </c>
      <c r="D24" s="321">
        <v>36</v>
      </c>
      <c r="E24" s="321" t="s">
        <v>23</v>
      </c>
      <c r="F24" s="331">
        <f>'Fully-Scored Profiles'!Z25</f>
        <v>4.17</v>
      </c>
      <c r="G24" s="321">
        <v>70</v>
      </c>
      <c r="H24" s="321" t="s">
        <v>155</v>
      </c>
      <c r="I24" s="331">
        <f>'Fully-Scored Profiles'!Z22</f>
        <v>10.75</v>
      </c>
      <c r="L24" t="s">
        <v>338</v>
      </c>
      <c r="M24" s="323">
        <f>I31</f>
        <v>81.02000000000001</v>
      </c>
      <c r="N24" s="338">
        <f>M24/(SUM(M19:M25))</f>
        <v>0.17004753859231198</v>
      </c>
      <c r="R24" s="174" t="s">
        <v>58</v>
      </c>
      <c r="S24" s="50" t="s">
        <v>18</v>
      </c>
      <c r="T24" s="50">
        <f>M23</f>
        <v>5.085</v>
      </c>
      <c r="U24" s="50" t="s">
        <v>18</v>
      </c>
    </row>
    <row r="25" spans="1:21">
      <c r="A25" s="321">
        <v>14</v>
      </c>
      <c r="B25" s="321" t="s">
        <v>174</v>
      </c>
      <c r="C25" s="331">
        <f>'Quick-Scored Profiles'!J30</f>
        <v>0.115</v>
      </c>
      <c r="D25" s="321"/>
      <c r="E25" s="328" t="s">
        <v>215</v>
      </c>
      <c r="F25" s="332">
        <f>SUM(F14:F24)</f>
        <v>53.344999999999999</v>
      </c>
      <c r="G25" s="321"/>
      <c r="H25" s="328" t="s">
        <v>215</v>
      </c>
      <c r="I25" s="334">
        <f>SUM(I11:I24)</f>
        <v>235.61199999999999</v>
      </c>
      <c r="L25" s="336" t="s">
        <v>339</v>
      </c>
      <c r="M25" s="339">
        <f>SUM(I33:I37)</f>
        <v>111.374</v>
      </c>
      <c r="N25" s="337">
        <f>M25/(SUM(M19:M25))</f>
        <v>0.23375554879264565</v>
      </c>
      <c r="R25" s="174" t="s">
        <v>61</v>
      </c>
      <c r="S25" s="50">
        <f>M20</f>
        <v>0.15150000000000002</v>
      </c>
      <c r="T25" s="50">
        <f>M22</f>
        <v>153.24450000000002</v>
      </c>
      <c r="U25" s="50">
        <f>M25</f>
        <v>111.374</v>
      </c>
    </row>
    <row r="26" spans="1:21">
      <c r="A26" s="321">
        <v>15</v>
      </c>
      <c r="B26" s="321" t="s">
        <v>30</v>
      </c>
      <c r="C26" s="331">
        <f>'Fully-Scored Profiles'!Z36</f>
        <v>88.08</v>
      </c>
      <c r="D26" s="321"/>
      <c r="E26" s="551" t="s">
        <v>324</v>
      </c>
      <c r="F26" s="551"/>
      <c r="G26" s="321"/>
      <c r="H26" s="328"/>
      <c r="I26" s="334"/>
      <c r="L26" t="s">
        <v>340</v>
      </c>
      <c r="M26" s="323">
        <f>SUM(C32:C35)</f>
        <v>69.625</v>
      </c>
      <c r="N26" s="324">
        <f>M26/(SUM(M26:M32))</f>
        <v>0.50398300391966666</v>
      </c>
    </row>
    <row r="27" spans="1:21">
      <c r="A27" s="321"/>
      <c r="B27" s="551" t="s">
        <v>344</v>
      </c>
      <c r="C27" s="551"/>
      <c r="D27" s="321">
        <v>37</v>
      </c>
      <c r="E27" s="321" t="s">
        <v>165</v>
      </c>
      <c r="F27" s="331">
        <f>'Quick-Scored Profiles'!J22</f>
        <v>0.08</v>
      </c>
      <c r="G27" s="321"/>
      <c r="H27" s="551" t="s">
        <v>363</v>
      </c>
      <c r="I27" s="551"/>
      <c r="L27" t="s">
        <v>342</v>
      </c>
      <c r="M27" s="323">
        <f>SUM(C37:C38)</f>
        <v>0.80499999999999994</v>
      </c>
      <c r="N27" s="324">
        <f>M27/(SUM(M26:M32))</f>
        <v>5.8270207275451583E-3</v>
      </c>
      <c r="R27" t="s">
        <v>343</v>
      </c>
    </row>
    <row r="28" spans="1:21">
      <c r="A28" s="321">
        <v>16</v>
      </c>
      <c r="B28" s="321" t="s">
        <v>180</v>
      </c>
      <c r="C28" s="331">
        <f>'Quick-Scored Profiles'!J35</f>
        <v>0.15150000000000002</v>
      </c>
      <c r="D28" s="321">
        <v>38</v>
      </c>
      <c r="E28" s="321" t="s">
        <v>26</v>
      </c>
      <c r="F28" s="331">
        <f>'Fully-Scored Profiles'!Z30</f>
        <v>0.80499999999999994</v>
      </c>
      <c r="G28" s="321">
        <v>71</v>
      </c>
      <c r="H28" t="s">
        <v>357</v>
      </c>
      <c r="I28" s="334">
        <f>'Fully-Scored Profiles'!Z33</f>
        <v>0.11</v>
      </c>
      <c r="L28" t="s">
        <v>345</v>
      </c>
      <c r="M28" s="323">
        <f>SUM(F47:F48)</f>
        <v>7.4549999999999992</v>
      </c>
      <c r="N28" s="338">
        <f>M28/(SUM(M26:M32))</f>
        <v>5.3963278911613857E-2</v>
      </c>
      <c r="R28" s="174"/>
      <c r="S28" s="50" t="s">
        <v>135</v>
      </c>
      <c r="T28" s="50" t="s">
        <v>129</v>
      </c>
      <c r="U28" s="50" t="s">
        <v>140</v>
      </c>
    </row>
    <row r="29" spans="1:21">
      <c r="A29" s="321"/>
      <c r="B29" s="328" t="s">
        <v>215</v>
      </c>
      <c r="C29" s="334">
        <f>SUM(C23:C28)</f>
        <v>91.0565</v>
      </c>
      <c r="D29" s="321">
        <v>39</v>
      </c>
      <c r="E29" s="321" t="s">
        <v>27</v>
      </c>
      <c r="F29" s="331">
        <f>'Fully-Scored Profiles'!Z31</f>
        <v>7.3599999999999994</v>
      </c>
      <c r="G29" s="321"/>
      <c r="H29" s="328"/>
      <c r="I29" s="334"/>
      <c r="L29" t="s">
        <v>346</v>
      </c>
      <c r="M29" s="323">
        <f>SUM(F50:F51)</f>
        <v>1.53</v>
      </c>
      <c r="N29" s="338">
        <f>M29/(SUM(M26:M32))</f>
        <v>1.1074958649868438E-2</v>
      </c>
      <c r="R29" s="174" t="s">
        <v>57</v>
      </c>
      <c r="S29" s="50">
        <f>M26</f>
        <v>69.625</v>
      </c>
      <c r="T29" s="50">
        <f>M28</f>
        <v>7.4549999999999992</v>
      </c>
      <c r="U29" s="50">
        <f>M31</f>
        <v>3.7595000000000001</v>
      </c>
    </row>
    <row r="30" spans="1:21">
      <c r="A30" s="321"/>
      <c r="B30" s="328"/>
      <c r="C30" s="334"/>
      <c r="D30" s="346">
        <v>40</v>
      </c>
      <c r="E30" s="321" t="s">
        <v>361</v>
      </c>
      <c r="F30" s="331">
        <f>'Quick-Scored Profiles'!J27</f>
        <v>0.83499999999999996</v>
      </c>
      <c r="G30" s="321"/>
      <c r="H30" s="551" t="s">
        <v>336</v>
      </c>
      <c r="I30" s="551"/>
      <c r="L30" t="s">
        <v>347</v>
      </c>
      <c r="M30" s="323">
        <f>SUM(F53:F55)</f>
        <v>43.724999999999994</v>
      </c>
      <c r="N30" s="338">
        <f>M30/(SUM(M26:M32))</f>
        <v>0.31650494572908328</v>
      </c>
      <c r="R30" s="174" t="s">
        <v>58</v>
      </c>
      <c r="S30" s="50">
        <f>M27</f>
        <v>0.80499999999999994</v>
      </c>
      <c r="T30" s="50">
        <f>M29</f>
        <v>1.53</v>
      </c>
      <c r="U30" s="50" t="s">
        <v>18</v>
      </c>
    </row>
    <row r="31" spans="1:21">
      <c r="A31" s="321"/>
      <c r="B31" s="551" t="s">
        <v>348</v>
      </c>
      <c r="C31" s="551"/>
      <c r="D31" s="321"/>
      <c r="E31" s="551" t="s">
        <v>350</v>
      </c>
      <c r="F31" s="551"/>
      <c r="G31" s="321">
        <v>72</v>
      </c>
      <c r="H31" s="321" t="s">
        <v>29</v>
      </c>
      <c r="I31" s="331">
        <f>'Fully-Scored Profiles'!Z35</f>
        <v>81.02000000000001</v>
      </c>
      <c r="L31" t="s">
        <v>349</v>
      </c>
      <c r="M31" s="323">
        <f>SUM(I40:I41)</f>
        <v>3.7595000000000001</v>
      </c>
      <c r="N31" s="338">
        <f>M31/(SUM(M26:M32))</f>
        <v>2.7213272577895683E-2</v>
      </c>
      <c r="R31" s="174"/>
      <c r="S31" s="50"/>
      <c r="T31" s="50"/>
      <c r="U31" s="50"/>
    </row>
    <row r="32" spans="1:21">
      <c r="A32" s="321">
        <v>17</v>
      </c>
      <c r="B32" s="321" t="s">
        <v>359</v>
      </c>
      <c r="C32" s="342">
        <f>'Fully-Scored Profiles'!Z46</f>
        <v>47.69</v>
      </c>
      <c r="D32" s="321">
        <v>41</v>
      </c>
      <c r="E32" s="321" t="s">
        <v>28</v>
      </c>
      <c r="F32" s="331">
        <f>'Fully-Scored Profiles'!Z32</f>
        <v>1.1025</v>
      </c>
      <c r="G32" s="321"/>
      <c r="H32" s="551" t="s">
        <v>341</v>
      </c>
      <c r="I32" s="551"/>
      <c r="L32" s="336" t="s">
        <v>351</v>
      </c>
      <c r="M32" s="339">
        <f>SUM(I43:I45)</f>
        <v>11.250000000000002</v>
      </c>
      <c r="N32" s="340">
        <f>M32/(SUM(M26:M32))</f>
        <v>8.1433519484326769E-2</v>
      </c>
      <c r="R32" s="174" t="s">
        <v>61</v>
      </c>
      <c r="S32" s="50" t="s">
        <v>18</v>
      </c>
      <c r="T32" s="50">
        <f>M30</f>
        <v>43.724999999999994</v>
      </c>
      <c r="U32" s="50">
        <f>M32</f>
        <v>11.250000000000002</v>
      </c>
    </row>
    <row r="33" spans="1:9">
      <c r="A33" s="321">
        <v>18</v>
      </c>
      <c r="B33" s="321" t="s">
        <v>38</v>
      </c>
      <c r="C33" s="331">
        <f>'Fully-Scored Profiles'!Z47</f>
        <v>8.8849999999999998</v>
      </c>
      <c r="D33" s="321"/>
      <c r="E33" s="328" t="s">
        <v>215</v>
      </c>
      <c r="F33" s="332">
        <f>SUM(F27:F32)</f>
        <v>10.182499999999997</v>
      </c>
      <c r="G33" s="321">
        <v>73</v>
      </c>
      <c r="H33" s="321" t="s">
        <v>31</v>
      </c>
      <c r="I33" s="331">
        <f>'Fully-Scored Profiles'!Z39</f>
        <v>2.1065</v>
      </c>
    </row>
    <row r="34" spans="1:9">
      <c r="A34" s="321">
        <v>19</v>
      </c>
      <c r="B34" s="321" t="s">
        <v>184</v>
      </c>
      <c r="C34" s="331">
        <f>'Quick-Scored Profiles'!J40</f>
        <v>0.21500000000000002</v>
      </c>
      <c r="D34" s="321"/>
      <c r="E34" s="551" t="s">
        <v>336</v>
      </c>
      <c r="F34" s="551"/>
      <c r="G34" s="321">
        <v>74</v>
      </c>
      <c r="H34" s="321" t="s">
        <v>365</v>
      </c>
      <c r="I34" s="331">
        <f>'Quick-Scored Profiles'!J36</f>
        <v>13.065999999999999</v>
      </c>
    </row>
    <row r="35" spans="1:9">
      <c r="A35" s="346">
        <v>20</v>
      </c>
      <c r="B35" s="321" t="s">
        <v>185</v>
      </c>
      <c r="C35" s="331">
        <f>'Quick-Scored Profiles'!J41</f>
        <v>12.835000000000001</v>
      </c>
      <c r="D35" s="346">
        <v>42</v>
      </c>
      <c r="E35" s="321" t="s">
        <v>175</v>
      </c>
      <c r="F35" s="331">
        <f>'Quick-Scored Profiles'!J31</f>
        <v>34.674999999999997</v>
      </c>
      <c r="G35" s="321">
        <v>75</v>
      </c>
      <c r="H35" s="321" t="s">
        <v>181</v>
      </c>
      <c r="I35" s="331">
        <f>'Quick-Scored Profiles'!J37</f>
        <v>1.65</v>
      </c>
    </row>
    <row r="36" spans="1:9">
      <c r="A36" s="321"/>
      <c r="B36" s="551" t="s">
        <v>353</v>
      </c>
      <c r="C36" s="551"/>
      <c r="D36" s="321"/>
      <c r="E36" s="551" t="s">
        <v>341</v>
      </c>
      <c r="F36" s="551"/>
      <c r="G36" s="321">
        <v>76</v>
      </c>
      <c r="H36" s="321" t="s">
        <v>182</v>
      </c>
      <c r="I36" s="331">
        <f>'Quick-Scored Profiles'!J38</f>
        <v>1.4465000000000001</v>
      </c>
    </row>
    <row r="37" spans="1:9">
      <c r="A37" s="321">
        <v>21</v>
      </c>
      <c r="B37" s="21" t="s">
        <v>360</v>
      </c>
      <c r="C37" s="331">
        <f>'Quick-Scored Profiles'!J42</f>
        <v>0.48499999999999999</v>
      </c>
      <c r="D37" s="321">
        <v>43</v>
      </c>
      <c r="E37" s="321" t="s">
        <v>32</v>
      </c>
      <c r="F37" s="331">
        <f>'Fully-Scored Profiles'!Z40</f>
        <v>27.63</v>
      </c>
      <c r="G37" s="321">
        <v>77</v>
      </c>
      <c r="H37" s="321" t="s">
        <v>35</v>
      </c>
      <c r="I37" s="331">
        <f>'Fully-Scored Profiles'!Z43</f>
        <v>93.105000000000004</v>
      </c>
    </row>
    <row r="38" spans="1:9">
      <c r="A38" s="346">
        <v>22</v>
      </c>
      <c r="B38" s="321" t="s">
        <v>188</v>
      </c>
      <c r="C38" s="345">
        <f>'Quick-Scored Profiles'!J43</f>
        <v>0.32</v>
      </c>
      <c r="D38" s="321">
        <v>44</v>
      </c>
      <c r="E38" s="321" t="s">
        <v>33</v>
      </c>
      <c r="F38" s="331">
        <f>'Fully-Scored Profiles'!Z41</f>
        <v>20.005000000000003</v>
      </c>
      <c r="G38" s="321"/>
      <c r="H38" s="328" t="s">
        <v>215</v>
      </c>
      <c r="I38" s="334">
        <f>SUM(I31:I37)</f>
        <v>192.39400000000001</v>
      </c>
    </row>
    <row r="39" spans="1:9">
      <c r="A39" s="321"/>
      <c r="B39" s="328" t="s">
        <v>215</v>
      </c>
      <c r="C39" s="334">
        <f>SUM(C33:C38)</f>
        <v>22.740000000000002</v>
      </c>
      <c r="D39" s="321">
        <v>45</v>
      </c>
      <c r="E39" s="321" t="s">
        <v>34</v>
      </c>
      <c r="F39" s="331">
        <f>'Fully-Scored Profiles'!Z42</f>
        <v>26.454999999999998</v>
      </c>
      <c r="G39" s="321"/>
      <c r="H39" s="551" t="s">
        <v>348</v>
      </c>
      <c r="I39" s="551"/>
    </row>
    <row r="40" spans="1:9">
      <c r="A40" s="321"/>
      <c r="B40" s="321"/>
      <c r="C40" s="321"/>
      <c r="D40" s="321">
        <v>46</v>
      </c>
      <c r="E40" s="321" t="s">
        <v>36</v>
      </c>
      <c r="F40" s="331">
        <f>'Fully-Scored Profiles'!Z44</f>
        <v>79.154499999999999</v>
      </c>
      <c r="G40" s="321">
        <v>78</v>
      </c>
      <c r="H40" s="321" t="s">
        <v>183</v>
      </c>
      <c r="I40" s="331">
        <f>'Quick-Scored Profiles'!J39</f>
        <v>3.4500000000000003E-2</v>
      </c>
    </row>
    <row r="41" spans="1:9">
      <c r="A41" s="321"/>
      <c r="B41" s="321"/>
      <c r="C41" s="321"/>
      <c r="D41" s="321"/>
      <c r="E41" s="551" t="s">
        <v>352</v>
      </c>
      <c r="F41" s="551"/>
      <c r="G41" s="321">
        <v>79</v>
      </c>
      <c r="H41" s="321" t="s">
        <v>40</v>
      </c>
      <c r="I41" s="331">
        <f>'Fully-Scored Profiles'!Z49</f>
        <v>3.7250000000000001</v>
      </c>
    </row>
    <row r="42" spans="1:9">
      <c r="A42" s="321"/>
      <c r="B42" s="321"/>
      <c r="C42" s="321"/>
      <c r="D42" s="321">
        <v>46</v>
      </c>
      <c r="E42" s="321" t="s">
        <v>176</v>
      </c>
      <c r="F42" s="331">
        <f>'Quick-Scored Profiles'!J32</f>
        <v>0.69499999999999995</v>
      </c>
      <c r="G42" s="321"/>
      <c r="H42" s="551" t="s">
        <v>354</v>
      </c>
      <c r="I42" s="551"/>
    </row>
    <row r="43" spans="1:9">
      <c r="A43" s="321"/>
      <c r="B43" s="321"/>
      <c r="C43" s="321"/>
      <c r="D43" s="321">
        <v>48</v>
      </c>
      <c r="E43" s="321" t="s">
        <v>177</v>
      </c>
      <c r="F43" s="331">
        <f>'Quick-Scored Profiles'!J33</f>
        <v>2.73</v>
      </c>
      <c r="G43" s="321">
        <v>80</v>
      </c>
      <c r="H43" s="321" t="s">
        <v>43</v>
      </c>
      <c r="I43" s="331">
        <f>'Fully-Scored Profiles'!Z56</f>
        <v>2.165</v>
      </c>
    </row>
    <row r="44" spans="1:9">
      <c r="A44" s="321"/>
      <c r="B44" s="321"/>
      <c r="C44" s="321"/>
      <c r="D44" s="321">
        <v>49</v>
      </c>
      <c r="E44" s="321" t="s">
        <v>178</v>
      </c>
      <c r="F44" s="331">
        <f>'Quick-Scored Profiles'!J34</f>
        <v>1.66</v>
      </c>
      <c r="G44" s="321">
        <v>81</v>
      </c>
      <c r="H44" s="321" t="s">
        <v>44</v>
      </c>
      <c r="I44" s="331">
        <f>'Fully-Scored Profiles'!Z57</f>
        <v>6.5250000000000004</v>
      </c>
    </row>
    <row r="45" spans="1:9">
      <c r="A45" s="321"/>
      <c r="B45" s="321"/>
      <c r="C45" s="321"/>
      <c r="D45" s="321"/>
      <c r="E45" s="328" t="s">
        <v>215</v>
      </c>
      <c r="F45" s="329">
        <f>SUM(F35:F44)</f>
        <v>193.00449999999998</v>
      </c>
      <c r="G45" s="321">
        <v>82</v>
      </c>
      <c r="H45" s="321" t="s">
        <v>47</v>
      </c>
      <c r="I45" s="331">
        <f>'Fully-Scored Profiles'!Z58</f>
        <v>2.56</v>
      </c>
    </row>
    <row r="46" spans="1:9">
      <c r="A46" s="321"/>
      <c r="B46" s="321"/>
      <c r="C46" s="321"/>
      <c r="D46" s="321"/>
      <c r="E46" s="551" t="s">
        <v>348</v>
      </c>
      <c r="F46" s="551"/>
      <c r="G46" s="321"/>
      <c r="H46" s="328" t="s">
        <v>215</v>
      </c>
      <c r="I46" s="334">
        <f>SUM(I40:I45)</f>
        <v>15.009500000000001</v>
      </c>
    </row>
    <row r="47" spans="1:9">
      <c r="A47" s="321"/>
      <c r="B47" s="321"/>
      <c r="C47" s="321"/>
      <c r="D47" s="321">
        <v>50</v>
      </c>
      <c r="E47" s="321" t="s">
        <v>39</v>
      </c>
      <c r="F47" s="331">
        <f>'Fully-Scored Profiles'!Z48</f>
        <v>5.0299999999999994</v>
      </c>
      <c r="G47" s="321"/>
      <c r="H47" s="321"/>
      <c r="I47" s="321"/>
    </row>
    <row r="48" spans="1:9">
      <c r="A48" s="321"/>
      <c r="B48" s="321"/>
      <c r="C48" s="321"/>
      <c r="D48" s="321">
        <v>51</v>
      </c>
      <c r="E48" s="321" t="s">
        <v>41</v>
      </c>
      <c r="F48" s="331">
        <f>'Fully-Scored Profiles'!Z50</f>
        <v>2.4249999999999998</v>
      </c>
      <c r="G48" s="321"/>
      <c r="H48" s="321"/>
      <c r="I48" s="321"/>
    </row>
    <row r="49" spans="1:9">
      <c r="A49" s="321"/>
      <c r="B49" s="321"/>
      <c r="C49" s="321"/>
      <c r="D49" s="321"/>
      <c r="E49" s="551" t="s">
        <v>353</v>
      </c>
      <c r="F49" s="551"/>
      <c r="G49" s="321"/>
      <c r="H49" s="321"/>
      <c r="I49" s="321"/>
    </row>
    <row r="50" spans="1:9">
      <c r="A50" s="321"/>
      <c r="B50" s="321"/>
      <c r="C50" s="321"/>
      <c r="D50" s="321">
        <v>52</v>
      </c>
      <c r="E50" s="321" t="s">
        <v>42</v>
      </c>
      <c r="F50" s="331">
        <f>'Fully-Scored Profiles'!Z52</f>
        <v>0.36499999999999999</v>
      </c>
      <c r="G50" s="321"/>
      <c r="H50" s="321"/>
      <c r="I50" s="321"/>
    </row>
    <row r="51" spans="1:9">
      <c r="A51" s="321"/>
      <c r="B51" s="321"/>
      <c r="C51" s="321"/>
      <c r="D51" s="321">
        <v>53</v>
      </c>
      <c r="E51" s="321" t="s">
        <v>189</v>
      </c>
      <c r="F51" s="331">
        <f>'Quick-Scored Profiles'!J44</f>
        <v>1.165</v>
      </c>
      <c r="G51" s="321"/>
      <c r="H51" s="321"/>
      <c r="I51" s="321"/>
    </row>
    <row r="52" spans="1:9">
      <c r="A52" s="321"/>
      <c r="B52" s="321"/>
      <c r="C52" s="321"/>
      <c r="D52" s="321"/>
      <c r="E52" s="551" t="s">
        <v>354</v>
      </c>
      <c r="F52" s="551"/>
      <c r="G52" s="321"/>
      <c r="H52" s="321"/>
      <c r="I52" s="321"/>
    </row>
    <row r="53" spans="1:9">
      <c r="A53" s="321"/>
      <c r="B53" s="321"/>
      <c r="C53" s="321"/>
      <c r="D53" s="321">
        <v>54</v>
      </c>
      <c r="E53" s="321" t="s">
        <v>190</v>
      </c>
      <c r="F53" s="331">
        <f>'Quick-Scored Profiles'!J45</f>
        <v>0.185</v>
      </c>
      <c r="G53" s="321"/>
      <c r="H53" s="321"/>
      <c r="I53" s="321"/>
    </row>
    <row r="54" spans="1:9">
      <c r="A54" s="321"/>
      <c r="B54" s="321"/>
      <c r="C54" s="321"/>
      <c r="D54" s="321">
        <v>55</v>
      </c>
      <c r="E54" s="321" t="s">
        <v>45</v>
      </c>
      <c r="F54" s="331">
        <f>'Fully-Scored Profiles'!Z54</f>
        <v>15.209999999999999</v>
      </c>
      <c r="G54" s="321"/>
      <c r="H54" s="321"/>
      <c r="I54" s="321"/>
    </row>
    <row r="55" spans="1:9">
      <c r="A55" s="321"/>
      <c r="B55" s="321"/>
      <c r="C55" s="321"/>
      <c r="D55" s="321">
        <v>56</v>
      </c>
      <c r="E55" s="321" t="s">
        <v>46</v>
      </c>
      <c r="F55" s="331">
        <f>'Fully-Scored Profiles'!Z55</f>
        <v>28.33</v>
      </c>
      <c r="G55" s="321"/>
      <c r="H55" s="321"/>
      <c r="I55" s="321"/>
    </row>
    <row r="56" spans="1:9">
      <c r="A56" s="321"/>
      <c r="B56" s="321"/>
      <c r="C56" s="321"/>
      <c r="D56" s="321"/>
      <c r="E56" s="328" t="s">
        <v>215</v>
      </c>
      <c r="F56" s="334">
        <f>SUM(F47:F55)</f>
        <v>52.709999999999994</v>
      </c>
      <c r="G56" s="321"/>
      <c r="H56" s="321"/>
      <c r="I56" s="321"/>
    </row>
    <row r="57" spans="1:9">
      <c r="A57" s="321"/>
      <c r="B57" s="321"/>
      <c r="C57" s="321"/>
      <c r="D57" s="321"/>
      <c r="E57" s="321"/>
      <c r="F57" s="321"/>
      <c r="G57" s="321"/>
      <c r="H57" s="321"/>
      <c r="I57" s="321"/>
    </row>
    <row r="58" spans="1:9">
      <c r="A58" s="321"/>
      <c r="B58" s="321"/>
      <c r="C58" s="321"/>
      <c r="D58" s="321"/>
      <c r="E58" s="321"/>
      <c r="F58" s="321"/>
      <c r="G58" s="321"/>
      <c r="H58" s="321"/>
      <c r="I58" s="321"/>
    </row>
    <row r="59" spans="1:9">
      <c r="A59" s="321"/>
      <c r="B59" s="321"/>
      <c r="C59" s="321"/>
      <c r="D59" s="321"/>
      <c r="E59" s="321"/>
      <c r="F59" s="321"/>
      <c r="G59" s="321"/>
      <c r="H59" s="321"/>
      <c r="I59" s="321"/>
    </row>
    <row r="60" spans="1:9">
      <c r="A60" s="321"/>
      <c r="B60" s="321"/>
      <c r="C60" s="321"/>
      <c r="D60" s="321"/>
      <c r="E60" s="321"/>
      <c r="F60" s="321"/>
      <c r="G60" s="321"/>
      <c r="H60" s="321"/>
      <c r="I60" s="321"/>
    </row>
    <row r="61" spans="1:9">
      <c r="A61" s="321"/>
      <c r="B61" s="321"/>
      <c r="C61" s="321"/>
      <c r="D61" s="321"/>
      <c r="E61" s="321"/>
      <c r="F61" s="321"/>
      <c r="G61" s="321"/>
      <c r="H61" s="321"/>
      <c r="I61" s="321"/>
    </row>
    <row r="62" spans="1:9">
      <c r="A62" s="321"/>
      <c r="B62" s="321"/>
      <c r="C62" s="321"/>
      <c r="G62" s="321"/>
      <c r="H62" s="321"/>
      <c r="I62" s="321"/>
    </row>
    <row r="63" spans="1:9">
      <c r="A63" s="321"/>
      <c r="B63" s="321"/>
      <c r="C63" s="321"/>
      <c r="G63" s="321"/>
      <c r="H63" s="321"/>
      <c r="I63" s="321"/>
    </row>
    <row r="64" spans="1:9">
      <c r="A64" s="321"/>
      <c r="B64" s="321"/>
      <c r="C64" s="321"/>
      <c r="G64" s="321"/>
      <c r="H64" s="321"/>
      <c r="I64" s="321"/>
    </row>
    <row r="65" spans="1:9">
      <c r="A65" s="321"/>
      <c r="B65" s="321"/>
      <c r="C65" s="321"/>
      <c r="G65" s="321"/>
      <c r="H65" s="321"/>
      <c r="I65" s="321"/>
    </row>
    <row r="66" spans="1:9">
      <c r="G66" s="321"/>
      <c r="H66" s="321"/>
      <c r="I66" s="321"/>
    </row>
    <row r="67" spans="1:9">
      <c r="G67" s="321"/>
      <c r="H67" s="321"/>
      <c r="I67" s="321"/>
    </row>
  </sheetData>
  <mergeCells count="33">
    <mergeCell ref="B36:C36"/>
    <mergeCell ref="E34:F34"/>
    <mergeCell ref="E52:F52"/>
    <mergeCell ref="H5:I5"/>
    <mergeCell ref="H27:I27"/>
    <mergeCell ref="H39:I39"/>
    <mergeCell ref="E36:F36"/>
    <mergeCell ref="H42:I42"/>
    <mergeCell ref="E41:F41"/>
    <mergeCell ref="E46:F46"/>
    <mergeCell ref="E49:F49"/>
    <mergeCell ref="E17:F17"/>
    <mergeCell ref="H21:I21"/>
    <mergeCell ref="B22:C22"/>
    <mergeCell ref="E22:F22"/>
    <mergeCell ref="H30:I30"/>
    <mergeCell ref="H32:I32"/>
    <mergeCell ref="H10:I10"/>
    <mergeCell ref="B10:C10"/>
    <mergeCell ref="E10:F10"/>
    <mergeCell ref="E13:F13"/>
    <mergeCell ref="B16:C16"/>
    <mergeCell ref="H19:I19"/>
    <mergeCell ref="B27:C27"/>
    <mergeCell ref="E26:F26"/>
    <mergeCell ref="B31:C31"/>
    <mergeCell ref="E31:F31"/>
    <mergeCell ref="B1:C1"/>
    <mergeCell ref="E1:F1"/>
    <mergeCell ref="H1:I1"/>
    <mergeCell ref="B3:C3"/>
    <mergeCell ref="E3:F3"/>
    <mergeCell ref="H3:I3"/>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8"/>
  <sheetViews>
    <sheetView zoomScale="60" zoomScaleNormal="60" zoomScalePageLayoutView="60" workbookViewId="0"/>
  </sheetViews>
  <sheetFormatPr baseColWidth="10" defaultRowHeight="15" x14ac:dyDescent="0"/>
  <cols>
    <col min="1" max="1" width="3.83203125" customWidth="1"/>
    <col min="2" max="2" width="59.5" customWidth="1"/>
    <col min="3" max="3" width="7.5" customWidth="1"/>
    <col min="4" max="4" width="9" customWidth="1"/>
    <col min="5" max="5" width="3.1640625" customWidth="1"/>
    <col min="6" max="6" width="3.83203125" customWidth="1"/>
    <col min="7" max="7" width="68.1640625" customWidth="1"/>
    <col min="8" max="8" width="9" customWidth="1"/>
    <col min="9" max="9" width="8.5" customWidth="1"/>
    <col min="10" max="10" width="3.5" customWidth="1"/>
    <col min="11" max="11" width="4.1640625" customWidth="1"/>
    <col min="12" max="12" width="61.5" customWidth="1"/>
    <col min="13" max="14" width="8.5" customWidth="1"/>
    <col min="15" max="16" width="4" customWidth="1"/>
    <col min="17" max="17" width="60.33203125" customWidth="1"/>
    <col min="18" max="18" width="8" customWidth="1"/>
    <col min="19" max="19" width="8.6640625" customWidth="1"/>
    <col min="20" max="21" width="4.1640625" customWidth="1"/>
    <col min="22" max="22" width="54" customWidth="1"/>
    <col min="23" max="23" width="11.83203125" customWidth="1"/>
    <col min="24" max="24" width="9.33203125" customWidth="1"/>
    <col min="26" max="26" width="12.1640625" customWidth="1"/>
    <col min="35" max="35" width="11.5" customWidth="1"/>
    <col min="36" max="36" width="8" customWidth="1"/>
    <col min="37" max="37" width="7.33203125" customWidth="1"/>
    <col min="38" max="38" width="6.1640625" customWidth="1"/>
    <col min="39" max="39" width="7.5" customWidth="1"/>
    <col min="40" max="41" width="6.6640625" customWidth="1"/>
    <col min="42" max="42" width="6.5" customWidth="1"/>
    <col min="43" max="43" width="6.6640625" customWidth="1"/>
    <col min="44" max="44" width="5.5" customWidth="1"/>
    <col min="45" max="46" width="5.6640625" customWidth="1"/>
    <col min="47" max="47" width="6" customWidth="1"/>
  </cols>
  <sheetData>
    <row r="1" spans="1:47" ht="60">
      <c r="A1" s="1" t="s">
        <v>12</v>
      </c>
      <c r="B1" s="370" t="s">
        <v>0</v>
      </c>
      <c r="C1" s="371" t="s">
        <v>124</v>
      </c>
      <c r="D1" s="371" t="s">
        <v>374</v>
      </c>
      <c r="E1" s="371"/>
      <c r="F1" s="1" t="s">
        <v>12</v>
      </c>
      <c r="G1" s="370" t="s">
        <v>0</v>
      </c>
      <c r="H1" s="371" t="s">
        <v>124</v>
      </c>
      <c r="I1" s="371" t="s">
        <v>374</v>
      </c>
      <c r="J1" s="371"/>
      <c r="K1" s="1" t="s">
        <v>12</v>
      </c>
      <c r="L1" s="370" t="s">
        <v>0</v>
      </c>
      <c r="M1" s="371" t="s">
        <v>124</v>
      </c>
      <c r="N1" s="371" t="s">
        <v>374</v>
      </c>
      <c r="O1" s="371"/>
      <c r="P1" s="1" t="s">
        <v>12</v>
      </c>
      <c r="Q1" s="370" t="s">
        <v>0</v>
      </c>
      <c r="R1" s="371" t="s">
        <v>124</v>
      </c>
      <c r="S1" s="371" t="s">
        <v>374</v>
      </c>
      <c r="T1" s="371"/>
      <c r="U1" s="1" t="s">
        <v>12</v>
      </c>
      <c r="V1" s="370" t="s">
        <v>0</v>
      </c>
      <c r="W1" s="371" t="s">
        <v>124</v>
      </c>
      <c r="X1" s="371" t="s">
        <v>374</v>
      </c>
    </row>
    <row r="2" spans="1:47">
      <c r="A2" s="321">
        <v>1</v>
      </c>
      <c r="B2" s="321" t="s">
        <v>131</v>
      </c>
      <c r="C2" s="325">
        <f>'Quick-Scored Profiles'!J4</f>
        <v>0.01</v>
      </c>
      <c r="D2" s="325" t="s">
        <v>375</v>
      </c>
      <c r="E2" s="325"/>
      <c r="F2" s="374">
        <v>14</v>
      </c>
      <c r="G2" s="321" t="s">
        <v>147</v>
      </c>
      <c r="H2" s="325">
        <f>'Fully-Scored Profiles'!Z16</f>
        <v>3.86</v>
      </c>
      <c r="I2" s="325" t="s">
        <v>375</v>
      </c>
      <c r="J2" s="325"/>
      <c r="K2" s="374">
        <v>41</v>
      </c>
      <c r="L2" s="321" t="s">
        <v>165</v>
      </c>
      <c r="M2" s="331">
        <f>'Quick-Scored Profiles'!J22</f>
        <v>0.08</v>
      </c>
      <c r="N2" s="331" t="s">
        <v>375</v>
      </c>
      <c r="O2" s="331"/>
      <c r="P2" s="376">
        <v>56</v>
      </c>
      <c r="Q2" s="321" t="s">
        <v>172</v>
      </c>
      <c r="R2" s="331">
        <f>'Quick-Scored Profiles'!J28</f>
        <v>0.66500000000000004</v>
      </c>
      <c r="S2" s="331" t="s">
        <v>375</v>
      </c>
      <c r="T2" s="331"/>
      <c r="U2" s="376">
        <v>77</v>
      </c>
      <c r="V2" s="321" t="s">
        <v>183</v>
      </c>
      <c r="W2" s="331">
        <f>'Quick-Scored Profiles'!J39</f>
        <v>3.4500000000000003E-2</v>
      </c>
      <c r="X2" s="331" t="s">
        <v>18</v>
      </c>
      <c r="Z2" s="174"/>
      <c r="AA2" s="174" t="s">
        <v>306</v>
      </c>
      <c r="AB2" s="174" t="s">
        <v>315</v>
      </c>
      <c r="AC2" s="174" t="s">
        <v>326</v>
      </c>
      <c r="AD2" s="174" t="s">
        <v>334</v>
      </c>
      <c r="AE2" s="174" t="s">
        <v>343</v>
      </c>
      <c r="AF2" s="174" t="s">
        <v>215</v>
      </c>
      <c r="AG2" s="174" t="s">
        <v>370</v>
      </c>
      <c r="AI2" s="433"/>
      <c r="AJ2" s="553" t="s">
        <v>57</v>
      </c>
      <c r="AK2" s="553"/>
      <c r="AL2" s="553" t="s">
        <v>61</v>
      </c>
      <c r="AM2" s="553"/>
      <c r="AN2" s="553" t="s">
        <v>218</v>
      </c>
      <c r="AO2" s="553"/>
      <c r="AP2" s="553" t="s">
        <v>216</v>
      </c>
      <c r="AQ2" s="553"/>
      <c r="AR2" s="553" t="s">
        <v>217</v>
      </c>
      <c r="AS2" s="553"/>
      <c r="AT2" s="554" t="s">
        <v>428</v>
      </c>
      <c r="AU2" s="554"/>
    </row>
    <row r="3" spans="1:47">
      <c r="A3" s="321">
        <v>2</v>
      </c>
      <c r="B3" s="321" t="s">
        <v>14</v>
      </c>
      <c r="C3" s="325">
        <f>'Fully-Scored Profiles'!Z7</f>
        <v>0.04</v>
      </c>
      <c r="D3" s="325" t="s">
        <v>375</v>
      </c>
      <c r="E3" s="325"/>
      <c r="F3" s="374">
        <v>15</v>
      </c>
      <c r="G3" s="321" t="s">
        <v>142</v>
      </c>
      <c r="H3" s="325">
        <f>'Quick-Scored Profiles'!J7</f>
        <v>1.085</v>
      </c>
      <c r="I3" s="325" t="s">
        <v>375</v>
      </c>
      <c r="J3" s="325"/>
      <c r="K3" s="374">
        <v>42</v>
      </c>
      <c r="L3" s="321" t="s">
        <v>166</v>
      </c>
      <c r="M3" s="331">
        <f>'Quick-Scored Profiles'!J23</f>
        <v>0.82000000000000006</v>
      </c>
      <c r="N3" s="331" t="s">
        <v>375</v>
      </c>
      <c r="O3" s="331"/>
      <c r="P3" s="376">
        <v>57</v>
      </c>
      <c r="Q3" s="321" t="s">
        <v>173</v>
      </c>
      <c r="R3" s="331">
        <f>'Quick-Scored Profiles'!J29</f>
        <v>2.0449999999999999</v>
      </c>
      <c r="S3" s="331" t="s">
        <v>375</v>
      </c>
      <c r="T3" s="331"/>
      <c r="U3" s="376">
        <v>78</v>
      </c>
      <c r="V3" s="321" t="s">
        <v>387</v>
      </c>
      <c r="W3" s="331">
        <f>'Quick-Scored Profiles'!J42</f>
        <v>0.48499999999999999</v>
      </c>
      <c r="X3" s="331" t="s">
        <v>375</v>
      </c>
      <c r="Z3" s="384" t="s">
        <v>371</v>
      </c>
      <c r="AA3" s="335">
        <f>SUM(C2:C4,C7:C8,C10:C11)</f>
        <v>2.0249999999999999</v>
      </c>
      <c r="AB3" s="335">
        <f>SUM(H2:H9,H12:H14,H17)</f>
        <v>71.8</v>
      </c>
      <c r="AC3" s="335">
        <f>SUM(M2:M6, M10:M12)</f>
        <v>11.364999999999998</v>
      </c>
      <c r="AD3" s="335">
        <f>SUM(R2:R7, R9:R10, R14, R18)</f>
        <v>177.125</v>
      </c>
      <c r="AE3" s="335">
        <f>SUM(W3:W13, W16)</f>
        <v>111.47000000000001</v>
      </c>
      <c r="AF3" s="335">
        <f>SUM(AA3:AE3)</f>
        <v>373.78500000000003</v>
      </c>
      <c r="AG3" s="369">
        <f>AF3/AF6</f>
        <v>0.38854216155676319</v>
      </c>
      <c r="AI3" s="433"/>
      <c r="AJ3" s="434">
        <v>2013</v>
      </c>
      <c r="AK3" s="434">
        <v>2014</v>
      </c>
      <c r="AL3" s="434">
        <v>2013</v>
      </c>
      <c r="AM3" s="434">
        <v>2014</v>
      </c>
      <c r="AN3" s="434">
        <v>2013</v>
      </c>
      <c r="AO3" s="434">
        <v>2014</v>
      </c>
      <c r="AP3" s="434">
        <v>2013</v>
      </c>
      <c r="AQ3" s="434">
        <v>2014</v>
      </c>
      <c r="AR3" s="434">
        <v>2013</v>
      </c>
      <c r="AS3" s="434">
        <v>2014</v>
      </c>
      <c r="AT3" s="435">
        <v>2013</v>
      </c>
      <c r="AU3" s="435">
        <v>2014</v>
      </c>
    </row>
    <row r="4" spans="1:47">
      <c r="A4">
        <v>3</v>
      </c>
      <c r="B4" s="321" t="s">
        <v>134</v>
      </c>
      <c r="C4" s="325">
        <f>'Quick-Scored Profiles'!J5</f>
        <v>0.13</v>
      </c>
      <c r="D4" s="325" t="s">
        <v>375</v>
      </c>
      <c r="E4" s="325"/>
      <c r="F4" s="374">
        <v>16</v>
      </c>
      <c r="G4" s="321" t="s">
        <v>143</v>
      </c>
      <c r="H4" s="325">
        <f>'Quick-Scored Profiles'!J8</f>
        <v>6.6150000000000002</v>
      </c>
      <c r="I4" s="325" t="s">
        <v>375</v>
      </c>
      <c r="J4" s="325"/>
      <c r="K4" s="374">
        <v>43</v>
      </c>
      <c r="L4" s="321" t="s">
        <v>167</v>
      </c>
      <c r="M4" s="331">
        <f>'Quick-Scored Profiles'!J24</f>
        <v>0.315</v>
      </c>
      <c r="N4" s="331" t="s">
        <v>375</v>
      </c>
      <c r="O4" s="331"/>
      <c r="P4" s="376">
        <v>58</v>
      </c>
      <c r="Q4" s="321" t="s">
        <v>381</v>
      </c>
      <c r="R4" s="331">
        <f>'Quick-Scored Profiles'!J32</f>
        <v>0.69499999999999995</v>
      </c>
      <c r="S4" s="331" t="s">
        <v>375</v>
      </c>
      <c r="T4" s="331"/>
      <c r="U4" s="376">
        <v>79</v>
      </c>
      <c r="V4" s="321" t="s">
        <v>37</v>
      </c>
      <c r="W4" s="331">
        <f>'Fully-Scored Profiles'!Z46</f>
        <v>47.69</v>
      </c>
      <c r="X4" s="331" t="s">
        <v>375</v>
      </c>
      <c r="Z4" s="384" t="s">
        <v>372</v>
      </c>
      <c r="AA4" s="335">
        <v>0</v>
      </c>
      <c r="AB4" s="335">
        <f>SUM(H10:H11, H27)</f>
        <v>14.525</v>
      </c>
      <c r="AC4" s="174">
        <f>M15</f>
        <v>0.23</v>
      </c>
      <c r="AD4" s="335">
        <f>SUM(R8, R21)</f>
        <v>95.600000000000009</v>
      </c>
      <c r="AE4" s="335">
        <f>W19</f>
        <v>0.55000000000000004</v>
      </c>
      <c r="AF4" s="335">
        <f>SUM(AA4:AE4)</f>
        <v>110.905</v>
      </c>
      <c r="AG4" s="369">
        <f>AF4/AF6</f>
        <v>0.11528356789986977</v>
      </c>
      <c r="AI4" s="438" t="s">
        <v>371</v>
      </c>
      <c r="AJ4" s="434">
        <v>345.44</v>
      </c>
      <c r="AK4" s="437">
        <f>SUM(C2:C4,C7:C8,C10:C11,H2:H6,H9,H12,M2:M6,M10:M12,R2:R4,R7,R9:R10,W3:W6,W8,W10,W12:W13)</f>
        <v>280.06999999999994</v>
      </c>
      <c r="AL4" s="434">
        <v>45.3</v>
      </c>
      <c r="AM4" s="437">
        <f>SUM(I17,R14,R18,W16)</f>
        <v>74.789999999999992</v>
      </c>
      <c r="AN4" s="434" t="s">
        <v>18</v>
      </c>
      <c r="AO4" s="434" t="s">
        <v>18</v>
      </c>
      <c r="AP4" s="434">
        <v>18.260000000000002</v>
      </c>
      <c r="AQ4" s="437">
        <f>SUM(H7:H8,H14,R4:R6,W3,W7,W9,W11)</f>
        <v>10.210000000000001</v>
      </c>
      <c r="AR4" s="434" t="s">
        <v>18</v>
      </c>
      <c r="AS4" s="434" t="s">
        <v>18</v>
      </c>
      <c r="AT4" s="435">
        <f>SUM(AJ4,AL4,AN4,AP4,AR4)</f>
        <v>409</v>
      </c>
      <c r="AU4" s="440">
        <f>SUM(AK4,AM4,AO4, AQ4,AS4)</f>
        <v>365.06999999999988</v>
      </c>
    </row>
    <row r="5" spans="1:47">
      <c r="A5" s="321">
        <v>4</v>
      </c>
      <c r="B5" t="s">
        <v>390</v>
      </c>
      <c r="C5" s="345">
        <f>'Fully-Scored Profiles'!Z14</f>
        <v>2.3250000000000002</v>
      </c>
      <c r="D5" s="345" t="s">
        <v>18</v>
      </c>
      <c r="E5" s="345"/>
      <c r="F5" s="374">
        <v>17</v>
      </c>
      <c r="G5" s="321" t="s">
        <v>144</v>
      </c>
      <c r="H5" s="325">
        <f>'Quick-Scored Profiles'!J9</f>
        <v>2.29</v>
      </c>
      <c r="I5" s="325" t="s">
        <v>375</v>
      </c>
      <c r="J5" s="325"/>
      <c r="K5" s="374">
        <v>44</v>
      </c>
      <c r="L5" s="321" t="s">
        <v>168</v>
      </c>
      <c r="M5" s="331">
        <f>'Quick-Scored Profiles'!J25</f>
        <v>0.5</v>
      </c>
      <c r="N5" s="331" t="s">
        <v>375</v>
      </c>
      <c r="O5" s="331"/>
      <c r="P5" s="376">
        <v>59</v>
      </c>
      <c r="Q5" s="321" t="s">
        <v>382</v>
      </c>
      <c r="R5" s="331">
        <f>'Quick-Scored Profiles'!J33</f>
        <v>2.73</v>
      </c>
      <c r="S5" s="331" t="s">
        <v>375</v>
      </c>
      <c r="T5" s="331"/>
      <c r="U5" s="376">
        <v>80</v>
      </c>
      <c r="V5" s="321" t="s">
        <v>38</v>
      </c>
      <c r="W5" s="331">
        <f>'Fully-Scored Profiles'!Z47</f>
        <v>8.8849999999999998</v>
      </c>
      <c r="X5" s="331" t="s">
        <v>375</v>
      </c>
      <c r="Z5" s="384" t="s">
        <v>430</v>
      </c>
      <c r="AA5" s="335">
        <f>SUM(C5,C6,C9,C12:C14)</f>
        <v>7.1176500000000011</v>
      </c>
      <c r="AB5" s="335">
        <f>SUM(H13,H15:H16, H18:H26, H28)</f>
        <v>226.15200000000004</v>
      </c>
      <c r="AC5" s="335">
        <f>SUM(M7:M9,M13:M14,M16)</f>
        <v>8.0890000000000004</v>
      </c>
      <c r="AD5" s="335">
        <f>SUM(R11:R13, R15:R17, R19:R20,R22)</f>
        <v>209.84100000000001</v>
      </c>
      <c r="AE5" s="335">
        <f>SUM(W2, W14:W15, W17:W18,W20)</f>
        <v>26.1295</v>
      </c>
      <c r="AF5" s="174">
        <f>SUM(AA5:AE5)</f>
        <v>477.32915000000003</v>
      </c>
      <c r="AG5" s="369">
        <f>AF5/AF6</f>
        <v>0.49617427054336705</v>
      </c>
      <c r="AI5" s="438" t="s">
        <v>429</v>
      </c>
      <c r="AJ5" s="434">
        <v>1.78</v>
      </c>
      <c r="AK5" s="437">
        <f>R8+H11</f>
        <v>93.350000000000009</v>
      </c>
      <c r="AL5" s="434">
        <v>2.68</v>
      </c>
      <c r="AM5" s="437">
        <f>SUM(H27,R21,M15,W19)</f>
        <v>16.440000000000001</v>
      </c>
      <c r="AN5" s="434">
        <v>12.55</v>
      </c>
      <c r="AO5" s="470">
        <v>0</v>
      </c>
      <c r="AP5" s="434">
        <v>0.81</v>
      </c>
      <c r="AQ5" s="437">
        <f>H10</f>
        <v>1.115</v>
      </c>
      <c r="AR5" s="434" t="s">
        <v>18</v>
      </c>
      <c r="AS5" s="434" t="s">
        <v>18</v>
      </c>
      <c r="AT5" s="435">
        <f t="shared" ref="AT5:AT7" si="0">SUM(AJ5,AL5,AN5,AP5,AR5)</f>
        <v>17.82</v>
      </c>
      <c r="AU5" s="440">
        <f t="shared" ref="AU5:AU7" si="1">SUM(AK5,AM5,AO5, AQ5,AS5)</f>
        <v>110.905</v>
      </c>
    </row>
    <row r="6" spans="1:47" ht="30">
      <c r="A6" s="346">
        <v>5</v>
      </c>
      <c r="B6" t="s">
        <v>391</v>
      </c>
      <c r="C6" s="345">
        <f>5.2735-C5</f>
        <v>2.9485000000000001</v>
      </c>
      <c r="D6" s="345" t="s">
        <v>18</v>
      </c>
      <c r="E6" s="373"/>
      <c r="F6" s="374">
        <v>18</v>
      </c>
      <c r="G6" s="321" t="s">
        <v>145</v>
      </c>
      <c r="H6" s="325">
        <f>'Quick-Scored Profiles'!J10</f>
        <v>0.95500000000000007</v>
      </c>
      <c r="I6" s="325" t="s">
        <v>375</v>
      </c>
      <c r="J6" s="325"/>
      <c r="K6" s="374">
        <v>45</v>
      </c>
      <c r="L6" s="321" t="s">
        <v>26</v>
      </c>
      <c r="M6" s="331">
        <f>'Fully-Scored Profiles'!Z30</f>
        <v>0.80499999999999994</v>
      </c>
      <c r="N6" s="331" t="s">
        <v>375</v>
      </c>
      <c r="O6" s="331"/>
      <c r="P6" s="376">
        <v>60</v>
      </c>
      <c r="Q6" s="343" t="s">
        <v>383</v>
      </c>
      <c r="R6" s="331">
        <f>'Quick-Scored Profiles'!J34</f>
        <v>1.66</v>
      </c>
      <c r="S6" s="331" t="s">
        <v>375</v>
      </c>
      <c r="T6" s="331"/>
      <c r="U6" s="376">
        <v>81</v>
      </c>
      <c r="V6" s="321" t="s">
        <v>39</v>
      </c>
      <c r="W6" s="331">
        <f>'Fully-Scored Profiles'!Z48</f>
        <v>5.0299999999999994</v>
      </c>
      <c r="X6" s="331" t="s">
        <v>375</v>
      </c>
      <c r="Z6" s="174"/>
      <c r="AA6" s="174"/>
      <c r="AB6" s="174"/>
      <c r="AC6" s="174"/>
      <c r="AD6" s="174"/>
      <c r="AE6" s="40" t="s">
        <v>373</v>
      </c>
      <c r="AF6" s="335">
        <f>SUM(AF3:AF5)</f>
        <v>962.01915000000008</v>
      </c>
      <c r="AG6" s="174"/>
      <c r="AI6" s="438" t="s">
        <v>386</v>
      </c>
      <c r="AJ6" s="434" t="s">
        <v>18</v>
      </c>
      <c r="AK6" s="434" t="s">
        <v>18</v>
      </c>
      <c r="AL6" s="434">
        <v>0.1</v>
      </c>
      <c r="AM6" s="434" t="s">
        <v>18</v>
      </c>
      <c r="AN6" s="434" t="s">
        <v>18</v>
      </c>
      <c r="AO6" s="434" t="s">
        <v>18</v>
      </c>
      <c r="AP6" s="434" t="s">
        <v>18</v>
      </c>
      <c r="AQ6" s="434" t="s">
        <v>18</v>
      </c>
      <c r="AR6" s="434" t="s">
        <v>18</v>
      </c>
      <c r="AS6" s="434" t="s">
        <v>18</v>
      </c>
      <c r="AT6" s="435">
        <f t="shared" si="0"/>
        <v>0.1</v>
      </c>
      <c r="AU6" s="440">
        <f t="shared" si="1"/>
        <v>0</v>
      </c>
    </row>
    <row r="7" spans="1:47" ht="30">
      <c r="A7">
        <v>6</v>
      </c>
      <c r="B7" s="321" t="s">
        <v>15</v>
      </c>
      <c r="C7" s="325">
        <f>'Fully-Scored Profiles'!Z8</f>
        <v>2.5000000000000001E-2</v>
      </c>
      <c r="D7" s="373" t="s">
        <v>375</v>
      </c>
      <c r="E7" s="373"/>
      <c r="F7" s="374">
        <v>19</v>
      </c>
      <c r="G7" s="321" t="s">
        <v>376</v>
      </c>
      <c r="H7" s="342">
        <f>'Quick-Scored Profiles'!J11</f>
        <v>0.19500000000000001</v>
      </c>
      <c r="I7" s="325" t="s">
        <v>375</v>
      </c>
      <c r="J7" s="325"/>
      <c r="K7" s="374">
        <v>46</v>
      </c>
      <c r="L7" s="343" t="s">
        <v>380</v>
      </c>
      <c r="M7" s="331">
        <f>'Fully-Scored Profiles'!Z32</f>
        <v>1.1025</v>
      </c>
      <c r="N7" s="331" t="s">
        <v>18</v>
      </c>
      <c r="O7" s="331"/>
      <c r="P7" s="376">
        <v>61</v>
      </c>
      <c r="Q7" s="321" t="s">
        <v>174</v>
      </c>
      <c r="R7" s="331">
        <f>'Quick-Scored Profiles'!J30</f>
        <v>0.115</v>
      </c>
      <c r="S7" s="331" t="s">
        <v>375</v>
      </c>
      <c r="T7" s="331"/>
      <c r="U7" s="376">
        <v>82</v>
      </c>
      <c r="V7" s="321" t="s">
        <v>384</v>
      </c>
      <c r="W7" s="331">
        <f>'Fully-Scored Profiles'!Z52</f>
        <v>0.36499999999999999</v>
      </c>
      <c r="X7" s="331" t="s">
        <v>375</v>
      </c>
      <c r="AA7">
        <f>AA3/SUM(AA3:AA5)</f>
        <v>0.22148939311906279</v>
      </c>
      <c r="AI7" s="438" t="s">
        <v>430</v>
      </c>
      <c r="AJ7" s="434">
        <v>0.05</v>
      </c>
      <c r="AK7" s="437">
        <f>W2</f>
        <v>3.4500000000000003E-2</v>
      </c>
      <c r="AL7" s="434">
        <v>372.92</v>
      </c>
      <c r="AM7" s="437">
        <f>SUM(C13:C14,H20,H22:H26,H28,M13:M14,M16,R11:R13,R16:R17,R19:R20,R22,W14:W15,W17:W18,W20)</f>
        <v>315.54764999999998</v>
      </c>
      <c r="AN7" s="434">
        <v>96.73</v>
      </c>
      <c r="AO7" s="437">
        <f>SUM(H18:H19,H21,R15)</f>
        <v>128.32300000000001</v>
      </c>
      <c r="AP7" s="434">
        <v>2.2799999999999998</v>
      </c>
      <c r="AQ7" s="437">
        <f>SUM(C9,C12,M7)</f>
        <v>2.3674999999999997</v>
      </c>
      <c r="AR7" s="434">
        <v>10.18</v>
      </c>
      <c r="AS7" s="437">
        <f>SUM(C5:C6,H13,M8:M9)</f>
        <v>12.641499999999999</v>
      </c>
      <c r="AT7" s="435">
        <f t="shared" si="0"/>
        <v>482.16</v>
      </c>
      <c r="AU7" s="440">
        <f t="shared" si="1"/>
        <v>458.91414999999995</v>
      </c>
    </row>
    <row r="8" spans="1:47" ht="29" customHeight="1">
      <c r="A8" s="321">
        <v>7</v>
      </c>
      <c r="B8" s="321" t="s">
        <v>16</v>
      </c>
      <c r="C8" s="325">
        <f>'Fully-Scored Profiles'!Z9</f>
        <v>0.09</v>
      </c>
      <c r="D8" s="373" t="s">
        <v>375</v>
      </c>
      <c r="E8" s="325"/>
      <c r="F8" s="374">
        <v>20</v>
      </c>
      <c r="G8" s="321" t="s">
        <v>377</v>
      </c>
      <c r="H8" s="342">
        <f>'Quick-Scored Profiles'!J12</f>
        <v>2.17</v>
      </c>
      <c r="I8" s="325" t="s">
        <v>375</v>
      </c>
      <c r="J8" s="325"/>
      <c r="K8" s="374">
        <v>47</v>
      </c>
      <c r="L8" t="s">
        <v>397</v>
      </c>
      <c r="M8" s="345">
        <f>'Fully-Scored Profiles'!Z33</f>
        <v>0.11</v>
      </c>
      <c r="N8" s="345" t="s">
        <v>18</v>
      </c>
      <c r="O8" s="345"/>
      <c r="P8" s="376">
        <v>62</v>
      </c>
      <c r="Q8" s="321" t="s">
        <v>29</v>
      </c>
      <c r="R8" s="331">
        <f>'Fully-Scored Profiles'!Z35</f>
        <v>81.02000000000001</v>
      </c>
      <c r="S8" s="377" t="s">
        <v>263</v>
      </c>
      <c r="T8" s="377"/>
      <c r="U8" s="376">
        <v>83</v>
      </c>
      <c r="V8" s="321" t="s">
        <v>184</v>
      </c>
      <c r="W8" s="331">
        <f>'Quick-Scored Profiles'!J40</f>
        <v>0.21500000000000002</v>
      </c>
      <c r="X8" s="331" t="s">
        <v>375</v>
      </c>
      <c r="AA8">
        <f>AA5/SUM(AA3:AA5)</f>
        <v>0.77851060688093709</v>
      </c>
      <c r="AI8" s="439" t="s">
        <v>431</v>
      </c>
      <c r="AJ8" s="555" t="s">
        <v>433</v>
      </c>
      <c r="AK8" s="556"/>
      <c r="AL8" s="557">
        <f>(SUM(AM4:AM6)/SUM(AM4:AM7))-(SUM(AL4:AL6)/SUM(AL4:AL7))</f>
        <v>0.11007058322439116</v>
      </c>
      <c r="AM8" s="557"/>
      <c r="AN8" s="557">
        <f>(SUM(AO4:AO6)/SUM(AO4:AO7))-(SUM(AN4:AN6)/SUM(AN4:AN7))</f>
        <v>-0.11484260614934115</v>
      </c>
      <c r="AO8" s="557"/>
      <c r="AP8" s="555" t="s">
        <v>433</v>
      </c>
      <c r="AQ8" s="556"/>
      <c r="AR8" s="555" t="s">
        <v>433</v>
      </c>
      <c r="AS8" s="556"/>
      <c r="AT8" s="557">
        <f>(SUM(AU4:AU6)/SUM(AU4:AU7))-(SUM(AT4:AT6)/SUM(AT4:AT7))</f>
        <v>3.950689555549558E-2</v>
      </c>
      <c r="AU8" s="557"/>
    </row>
    <row r="9" spans="1:47">
      <c r="A9">
        <v>8</v>
      </c>
      <c r="B9" s="321" t="s">
        <v>49</v>
      </c>
      <c r="C9" s="325">
        <f>'Fully-Scored Profiles'!Z12</f>
        <v>0.57499999999999996</v>
      </c>
      <c r="D9" s="325" t="s">
        <v>18</v>
      </c>
      <c r="E9" s="373"/>
      <c r="F9" s="374">
        <v>21</v>
      </c>
      <c r="G9" s="321" t="s">
        <v>21</v>
      </c>
      <c r="H9" s="325">
        <f>'Fully-Scored Profiles'!Z17</f>
        <v>2.96</v>
      </c>
      <c r="I9" s="325" t="s">
        <v>375</v>
      </c>
      <c r="J9" s="325"/>
      <c r="K9" s="374">
        <v>48</v>
      </c>
      <c r="L9" t="s">
        <v>398</v>
      </c>
      <c r="M9" s="345">
        <f>1.643-M8</f>
        <v>1.5329999999999999</v>
      </c>
      <c r="N9" s="345" t="s">
        <v>18</v>
      </c>
      <c r="O9" s="345"/>
      <c r="P9" s="376">
        <v>63</v>
      </c>
      <c r="Q9" s="321" t="s">
        <v>30</v>
      </c>
      <c r="R9" s="331">
        <f>'Fully-Scored Profiles'!Z36</f>
        <v>88.08</v>
      </c>
      <c r="S9" s="375" t="s">
        <v>375</v>
      </c>
      <c r="T9" s="377"/>
      <c r="U9" s="376">
        <v>84</v>
      </c>
      <c r="V9" s="321" t="s">
        <v>388</v>
      </c>
      <c r="W9" s="331">
        <f>'Quick-Scored Profiles'!J43</f>
        <v>0.32</v>
      </c>
      <c r="X9" s="331" t="s">
        <v>375</v>
      </c>
      <c r="AI9" s="436" t="s">
        <v>432</v>
      </c>
    </row>
    <row r="10" spans="1:47">
      <c r="A10" s="321">
        <v>9</v>
      </c>
      <c r="B10" s="321" t="s">
        <v>50</v>
      </c>
      <c r="C10" s="325">
        <f>'Fully-Scored Profiles'!Z10</f>
        <v>1.155</v>
      </c>
      <c r="D10" s="373" t="s">
        <v>375</v>
      </c>
      <c r="E10" s="373"/>
      <c r="F10" s="374">
        <v>22</v>
      </c>
      <c r="G10" s="321" t="s">
        <v>378</v>
      </c>
      <c r="H10" s="342">
        <f>'Quick-Scored Profiles'!J13</f>
        <v>1.115</v>
      </c>
      <c r="I10" s="325" t="s">
        <v>263</v>
      </c>
      <c r="J10" s="325"/>
      <c r="K10" s="374">
        <v>49</v>
      </c>
      <c r="L10" s="321" t="s">
        <v>169</v>
      </c>
      <c r="M10" s="331">
        <f>'Quick-Scored Profiles'!J26</f>
        <v>0.65</v>
      </c>
      <c r="N10" s="375" t="s">
        <v>375</v>
      </c>
      <c r="O10" s="375"/>
      <c r="P10" s="376">
        <v>64</v>
      </c>
      <c r="Q10" s="321" t="s">
        <v>175</v>
      </c>
      <c r="R10" s="331">
        <f>'Quick-Scored Profiles'!J31</f>
        <v>34.674999999999997</v>
      </c>
      <c r="S10" s="375" t="s">
        <v>375</v>
      </c>
      <c r="T10" s="375"/>
      <c r="U10" s="376">
        <v>85</v>
      </c>
      <c r="V10" s="321" t="s">
        <v>40</v>
      </c>
      <c r="W10" s="331">
        <f>'Fully-Scored Profiles'!Z49</f>
        <v>3.7250000000000001</v>
      </c>
      <c r="X10" s="331" t="s">
        <v>375</v>
      </c>
    </row>
    <row r="11" spans="1:47">
      <c r="A11">
        <v>10</v>
      </c>
      <c r="B11" s="321" t="s">
        <v>392</v>
      </c>
      <c r="C11" s="325">
        <f>'Quick-Scored Profiles'!J6</f>
        <v>0.57499999999999996</v>
      </c>
      <c r="D11" s="373" t="s">
        <v>375</v>
      </c>
      <c r="E11" s="333"/>
      <c r="F11" s="374">
        <v>23</v>
      </c>
      <c r="G11" s="321" t="s">
        <v>19</v>
      </c>
      <c r="H11" s="331">
        <f>'Fully-Scored Profiles'!Z18</f>
        <v>12.33</v>
      </c>
      <c r="I11" s="325" t="s">
        <v>263</v>
      </c>
      <c r="J11" s="373"/>
      <c r="K11" s="374">
        <v>50</v>
      </c>
      <c r="L11" s="321" t="s">
        <v>27</v>
      </c>
      <c r="M11" s="331">
        <f>'Fully-Scored Profiles'!Z31</f>
        <v>7.3599999999999994</v>
      </c>
      <c r="N11" s="375" t="s">
        <v>375</v>
      </c>
      <c r="O11" s="375"/>
      <c r="P11" s="376">
        <v>65</v>
      </c>
      <c r="Q11" s="321" t="s">
        <v>31</v>
      </c>
      <c r="R11" s="331">
        <f>'Fully-Scored Profiles'!Z39</f>
        <v>2.1065</v>
      </c>
      <c r="S11" s="377" t="s">
        <v>260</v>
      </c>
      <c r="T11" s="375"/>
      <c r="U11" s="376">
        <v>86</v>
      </c>
      <c r="V11" s="321" t="s">
        <v>385</v>
      </c>
      <c r="W11" s="331">
        <f>'Quick-Scored Profiles'!J44</f>
        <v>1.165</v>
      </c>
      <c r="X11" s="377" t="s">
        <v>375</v>
      </c>
    </row>
    <row r="12" spans="1:47">
      <c r="A12" s="321">
        <v>11</v>
      </c>
      <c r="B12" s="372" t="s">
        <v>17</v>
      </c>
      <c r="C12" s="333">
        <f>'Fully-Scored Profiles'!Z11</f>
        <v>0.69</v>
      </c>
      <c r="D12" s="333" t="s">
        <v>18</v>
      </c>
      <c r="E12" s="373"/>
      <c r="F12" s="374">
        <v>24</v>
      </c>
      <c r="G12" s="321" t="s">
        <v>20</v>
      </c>
      <c r="H12" s="325">
        <f>'Fully-Scored Profiles'!Z19</f>
        <v>41.349999999999994</v>
      </c>
      <c r="I12" s="373" t="s">
        <v>375</v>
      </c>
      <c r="J12" s="373"/>
      <c r="K12" s="374">
        <v>51</v>
      </c>
      <c r="L12" s="321" t="s">
        <v>170</v>
      </c>
      <c r="M12" s="331">
        <f>'Quick-Scored Profiles'!J27</f>
        <v>0.83499999999999996</v>
      </c>
      <c r="N12" s="375" t="s">
        <v>375</v>
      </c>
      <c r="O12" s="375"/>
      <c r="P12" s="376">
        <v>66</v>
      </c>
      <c r="Q12" s="372" t="s">
        <v>180</v>
      </c>
      <c r="R12" s="331">
        <f>'Quick-Scored Profiles'!J35</f>
        <v>0.15150000000000002</v>
      </c>
      <c r="S12" s="377" t="s">
        <v>18</v>
      </c>
      <c r="T12" s="377"/>
      <c r="U12" s="376">
        <v>87</v>
      </c>
      <c r="V12" s="321" t="s">
        <v>41</v>
      </c>
      <c r="W12" s="331">
        <f>'Fully-Scored Profiles'!Z50</f>
        <v>2.4249999999999998</v>
      </c>
      <c r="X12" s="377" t="s">
        <v>375</v>
      </c>
    </row>
    <row r="13" spans="1:47">
      <c r="A13" s="346">
        <v>12</v>
      </c>
      <c r="B13" s="343" t="s">
        <v>393</v>
      </c>
      <c r="C13" s="379">
        <f>(0.6078+0.48)/2</f>
        <v>0.54390000000000005</v>
      </c>
      <c r="D13" s="378" t="s">
        <v>18</v>
      </c>
      <c r="E13" s="373"/>
      <c r="F13" s="374">
        <v>25</v>
      </c>
      <c r="G13" s="321" t="s">
        <v>399</v>
      </c>
      <c r="H13" s="325">
        <f>AVERAGE('Harvest trends'!D19:D20)</f>
        <v>5.7249999999999996</v>
      </c>
      <c r="I13" s="373" t="s">
        <v>18</v>
      </c>
      <c r="J13" s="325"/>
      <c r="K13" s="374">
        <v>52</v>
      </c>
      <c r="L13" s="343" t="s">
        <v>395</v>
      </c>
      <c r="M13" s="373">
        <f>(0.708+2.83)/2</f>
        <v>1.7690000000000001</v>
      </c>
      <c r="N13" s="373" t="s">
        <v>18</v>
      </c>
      <c r="O13" s="373"/>
      <c r="P13" s="376">
        <v>67</v>
      </c>
      <c r="Q13" s="321" t="s">
        <v>32</v>
      </c>
      <c r="R13" s="331">
        <f>'Fully-Scored Profiles'!Z40</f>
        <v>27.63</v>
      </c>
      <c r="S13" s="377" t="s">
        <v>18</v>
      </c>
      <c r="T13" s="377"/>
      <c r="U13" s="376">
        <v>88</v>
      </c>
      <c r="V13" s="321" t="s">
        <v>185</v>
      </c>
      <c r="W13" s="331">
        <f>'Quick-Scored Profiles'!J41</f>
        <v>12.835000000000001</v>
      </c>
      <c r="X13" s="377" t="s">
        <v>375</v>
      </c>
    </row>
    <row r="14" spans="1:47">
      <c r="A14" s="346">
        <v>13</v>
      </c>
      <c r="B14" s="343" t="s">
        <v>394</v>
      </c>
      <c r="C14" s="379">
        <f>(0.0405+0.03)/2</f>
        <v>3.5250000000000004E-2</v>
      </c>
      <c r="D14" s="378" t="s">
        <v>18</v>
      </c>
      <c r="E14" s="325"/>
      <c r="F14" s="374">
        <v>26</v>
      </c>
      <c r="G14" s="321" t="s">
        <v>379</v>
      </c>
      <c r="H14" s="342">
        <f>'Quick-Scored Profiles'!J14</f>
        <v>0.42499999999999999</v>
      </c>
      <c r="I14" s="373" t="s">
        <v>375</v>
      </c>
      <c r="J14" s="325"/>
      <c r="K14" s="374">
        <v>53</v>
      </c>
      <c r="L14" s="343" t="s">
        <v>396</v>
      </c>
      <c r="M14" s="325">
        <f>(0.369+0.358)/2</f>
        <v>0.36349999999999999</v>
      </c>
      <c r="N14" s="325" t="s">
        <v>18</v>
      </c>
      <c r="O14" s="325"/>
      <c r="P14" s="376">
        <v>68</v>
      </c>
      <c r="Q14" s="321" t="s">
        <v>33</v>
      </c>
      <c r="R14" s="331">
        <f>'Fully-Scored Profiles'!Z41</f>
        <v>20.005000000000003</v>
      </c>
      <c r="S14" s="377" t="s">
        <v>375</v>
      </c>
      <c r="T14" s="377"/>
      <c r="U14" s="376">
        <v>89</v>
      </c>
      <c r="V14" s="321" t="s">
        <v>190</v>
      </c>
      <c r="W14" s="331">
        <f>'Quick-Scored Profiles'!J45</f>
        <v>0.185</v>
      </c>
      <c r="X14" s="377" t="s">
        <v>18</v>
      </c>
    </row>
    <row r="15" spans="1:47" ht="30">
      <c r="A15" s="321"/>
      <c r="B15" s="321"/>
      <c r="C15" s="325"/>
      <c r="D15" s="325"/>
      <c r="E15" s="325"/>
      <c r="F15" s="374">
        <v>27</v>
      </c>
      <c r="G15" s="321" t="s">
        <v>157</v>
      </c>
      <c r="H15" s="331">
        <f>'Quick-Scored Profiles'!J17</f>
        <v>0.88</v>
      </c>
      <c r="I15" s="325" t="s">
        <v>18</v>
      </c>
      <c r="J15" s="373"/>
      <c r="K15" s="374">
        <v>54</v>
      </c>
      <c r="L15" s="343" t="s">
        <v>463</v>
      </c>
      <c r="M15" s="10">
        <v>0.23</v>
      </c>
      <c r="N15" s="375" t="s">
        <v>263</v>
      </c>
      <c r="O15" s="325"/>
      <c r="P15" s="376">
        <v>69</v>
      </c>
      <c r="Q15" s="321" t="s">
        <v>400</v>
      </c>
      <c r="R15" s="331">
        <v>6.1109999999999998</v>
      </c>
      <c r="S15" s="377" t="s">
        <v>18</v>
      </c>
      <c r="T15" s="377"/>
      <c r="U15" s="376">
        <v>90</v>
      </c>
      <c r="V15" s="321" t="s">
        <v>45</v>
      </c>
      <c r="W15" s="331">
        <f>'Fully-Scored Profiles'!Z54</f>
        <v>15.209999999999999</v>
      </c>
      <c r="X15" s="377" t="s">
        <v>18</v>
      </c>
    </row>
    <row r="16" spans="1:47">
      <c r="A16" s="321"/>
      <c r="D16" s="325"/>
      <c r="E16" s="325"/>
      <c r="F16" s="374">
        <v>28</v>
      </c>
      <c r="G16" s="321" t="s">
        <v>22</v>
      </c>
      <c r="H16" s="331">
        <f>'Fully-Scored Profiles'!Z24</f>
        <v>17.535</v>
      </c>
      <c r="I16" s="325" t="s">
        <v>18</v>
      </c>
      <c r="J16" s="325"/>
      <c r="K16" s="374">
        <v>55</v>
      </c>
      <c r="L16" s="343" t="s">
        <v>467</v>
      </c>
      <c r="M16" s="325">
        <f>((1.042+5.84)/2)-M15</f>
        <v>3.2109999999999999</v>
      </c>
      <c r="N16" s="325" t="s">
        <v>18</v>
      </c>
      <c r="O16" s="373"/>
      <c r="P16" s="376">
        <v>70</v>
      </c>
      <c r="Q16" s="321" t="s">
        <v>364</v>
      </c>
      <c r="R16" s="331">
        <f>'Quick-Scored Profiles'!J36</f>
        <v>13.065999999999999</v>
      </c>
      <c r="S16" s="377" t="s">
        <v>18</v>
      </c>
      <c r="T16" s="377"/>
      <c r="U16" s="376">
        <v>91</v>
      </c>
      <c r="V16" s="321" t="s">
        <v>46</v>
      </c>
      <c r="W16" s="331">
        <f>'Fully-Scored Profiles'!Z55</f>
        <v>28.33</v>
      </c>
      <c r="X16" s="375" t="s">
        <v>375</v>
      </c>
    </row>
    <row r="17" spans="1:24">
      <c r="A17" s="321"/>
      <c r="D17" s="325"/>
      <c r="E17" s="331"/>
      <c r="F17" s="374">
        <v>29</v>
      </c>
      <c r="G17" s="321" t="s">
        <v>23</v>
      </c>
      <c r="H17" s="331">
        <f>'Fully-Scored Profiles'!Z25</f>
        <v>4.17</v>
      </c>
      <c r="I17" s="373" t="s">
        <v>375</v>
      </c>
      <c r="J17" s="325"/>
      <c r="K17" s="325"/>
      <c r="L17" s="325"/>
      <c r="M17" s="325"/>
      <c r="N17" s="325"/>
      <c r="O17" s="325"/>
      <c r="P17" s="376">
        <v>71</v>
      </c>
      <c r="Q17" s="321" t="s">
        <v>181</v>
      </c>
      <c r="R17" s="331">
        <f>'Quick-Scored Profiles'!J37</f>
        <v>1.65</v>
      </c>
      <c r="S17" s="377" t="s">
        <v>18</v>
      </c>
      <c r="T17" s="377"/>
      <c r="U17" s="376">
        <v>92</v>
      </c>
      <c r="V17" s="321" t="s">
        <v>43</v>
      </c>
      <c r="W17" s="331">
        <f>'Fully-Scored Profiles'!Z56</f>
        <v>2.165</v>
      </c>
      <c r="X17" s="10" t="s">
        <v>18</v>
      </c>
    </row>
    <row r="18" spans="1:24">
      <c r="A18" s="321"/>
      <c r="D18" s="331"/>
      <c r="E18" s="331"/>
      <c r="F18" s="374">
        <v>30</v>
      </c>
      <c r="G18" s="321" t="s">
        <v>153</v>
      </c>
      <c r="H18" s="331">
        <f>'Quick-Scored Profiles'!J15</f>
        <v>97</v>
      </c>
      <c r="I18" s="325" t="s">
        <v>18</v>
      </c>
      <c r="J18" s="331"/>
      <c r="K18" s="331"/>
      <c r="L18" s="331"/>
      <c r="M18" s="331"/>
      <c r="N18" s="331"/>
      <c r="O18" s="325"/>
      <c r="P18" s="376">
        <v>72</v>
      </c>
      <c r="Q18" s="321" t="s">
        <v>34</v>
      </c>
      <c r="R18" s="331">
        <f>'Fully-Scored Profiles'!Z42</f>
        <v>26.454999999999998</v>
      </c>
      <c r="S18" s="10" t="s">
        <v>375</v>
      </c>
      <c r="T18" s="10"/>
      <c r="U18" s="376">
        <v>93</v>
      </c>
      <c r="V18" s="321" t="s">
        <v>44</v>
      </c>
      <c r="W18" s="331">
        <f>'Fully-Scored Profiles'!Z57</f>
        <v>6.5250000000000004</v>
      </c>
      <c r="X18" s="375" t="s">
        <v>18</v>
      </c>
    </row>
    <row r="19" spans="1:24" ht="30">
      <c r="A19" s="321"/>
      <c r="D19" s="331"/>
      <c r="E19" s="331"/>
      <c r="F19" s="374">
        <v>31</v>
      </c>
      <c r="G19" s="321" t="s">
        <v>154</v>
      </c>
      <c r="H19" s="331">
        <f>'Quick-Scored Profiles'!J16</f>
        <v>14.462</v>
      </c>
      <c r="I19" s="325" t="s">
        <v>18</v>
      </c>
      <c r="J19" s="373"/>
      <c r="K19" s="373"/>
      <c r="L19" s="373"/>
      <c r="M19" s="373"/>
      <c r="N19" s="373"/>
      <c r="O19" s="331"/>
      <c r="P19" s="376">
        <v>73</v>
      </c>
      <c r="Q19" s="321" t="s">
        <v>182</v>
      </c>
      <c r="R19" s="331">
        <f>'Quick-Scored Profiles'!J38</f>
        <v>1.4465000000000001</v>
      </c>
      <c r="S19" s="375" t="s">
        <v>18</v>
      </c>
      <c r="T19" s="375"/>
      <c r="U19" s="376">
        <v>94</v>
      </c>
      <c r="V19" s="343" t="s">
        <v>464</v>
      </c>
      <c r="W19" s="10">
        <v>0.55000000000000004</v>
      </c>
      <c r="X19" s="375" t="s">
        <v>263</v>
      </c>
    </row>
    <row r="20" spans="1:24">
      <c r="A20" s="321"/>
      <c r="D20" s="331"/>
      <c r="E20" s="331"/>
      <c r="F20" s="374">
        <v>32</v>
      </c>
      <c r="G20" s="321" t="s">
        <v>54</v>
      </c>
      <c r="H20" s="331">
        <v>30</v>
      </c>
      <c r="I20" s="331" t="s">
        <v>18</v>
      </c>
      <c r="J20" s="331"/>
      <c r="K20" s="331"/>
      <c r="L20" s="331"/>
      <c r="M20" s="331"/>
      <c r="N20" s="331"/>
      <c r="O20" s="373"/>
      <c r="P20" s="376">
        <v>74</v>
      </c>
      <c r="Q20" s="321" t="s">
        <v>35</v>
      </c>
      <c r="R20" s="331">
        <f>'Fully-Scored Profiles'!Z43</f>
        <v>93.105000000000004</v>
      </c>
      <c r="S20" s="327" t="s">
        <v>18</v>
      </c>
      <c r="T20" s="327"/>
      <c r="U20" s="376">
        <v>95</v>
      </c>
      <c r="V20" s="343" t="s">
        <v>465</v>
      </c>
      <c r="W20" s="331">
        <f>('Fully-Scored Profiles'!Z58)-W19</f>
        <v>2.0099999999999998</v>
      </c>
      <c r="X20" s="327" t="s">
        <v>18</v>
      </c>
    </row>
    <row r="21" spans="1:24">
      <c r="A21" s="321"/>
      <c r="D21" s="331"/>
      <c r="E21" s="331"/>
      <c r="F21" s="374">
        <v>33</v>
      </c>
      <c r="G21" s="321" t="s">
        <v>155</v>
      </c>
      <c r="H21" s="331">
        <f>'Fully-Scored Profiles'!Z22</f>
        <v>10.75</v>
      </c>
      <c r="I21" s="373" t="s">
        <v>260</v>
      </c>
      <c r="J21" s="331"/>
      <c r="K21" s="331"/>
      <c r="L21" s="331"/>
      <c r="M21" s="331"/>
      <c r="N21" s="331"/>
      <c r="O21" s="331"/>
      <c r="P21" s="376">
        <v>75</v>
      </c>
      <c r="Q21" s="321" t="s">
        <v>462</v>
      </c>
      <c r="R21" s="10">
        <v>14.58</v>
      </c>
      <c r="S21" s="327" t="s">
        <v>263</v>
      </c>
      <c r="T21" s="321"/>
      <c r="U21" s="321"/>
      <c r="V21" s="321"/>
      <c r="W21" s="321"/>
      <c r="X21" s="321"/>
    </row>
    <row r="22" spans="1:24">
      <c r="A22" s="321"/>
      <c r="D22" s="331"/>
      <c r="E22" s="331"/>
      <c r="F22" s="374">
        <v>34</v>
      </c>
      <c r="G22" s="321" t="s">
        <v>159</v>
      </c>
      <c r="H22" s="331">
        <f>'Quick-Scored Profiles'!J18</f>
        <v>1.77</v>
      </c>
      <c r="I22" s="331" t="s">
        <v>18</v>
      </c>
      <c r="J22" s="331"/>
      <c r="K22" s="331"/>
      <c r="L22" s="331"/>
      <c r="M22" s="331"/>
      <c r="N22" s="331"/>
      <c r="O22" s="331"/>
      <c r="P22" s="376">
        <v>76</v>
      </c>
      <c r="Q22" s="321" t="s">
        <v>466</v>
      </c>
      <c r="R22" s="331">
        <f>('Fully-Scored Profiles'!Z44)-R21</f>
        <v>64.5745</v>
      </c>
      <c r="S22" s="327" t="s">
        <v>18</v>
      </c>
      <c r="T22" s="321"/>
      <c r="U22" s="321"/>
      <c r="V22" s="321"/>
      <c r="W22" s="321"/>
      <c r="X22" s="321"/>
    </row>
    <row r="23" spans="1:24">
      <c r="A23" s="321"/>
      <c r="D23" s="331"/>
      <c r="E23" s="331"/>
      <c r="F23" s="374">
        <v>35</v>
      </c>
      <c r="G23" s="321" t="s">
        <v>160</v>
      </c>
      <c r="H23" s="331">
        <f>'Quick-Scored Profiles'!J19</f>
        <v>0.13</v>
      </c>
      <c r="I23" s="331" t="s">
        <v>18</v>
      </c>
      <c r="J23" s="331"/>
      <c r="K23" s="331"/>
      <c r="L23" s="331"/>
      <c r="M23" s="331"/>
      <c r="N23" s="331"/>
      <c r="O23" s="331"/>
      <c r="P23" s="331"/>
      <c r="Q23" s="373"/>
      <c r="R23" s="373"/>
      <c r="S23" s="321"/>
      <c r="T23" s="321"/>
      <c r="U23" s="321"/>
      <c r="V23" s="321"/>
      <c r="W23" s="321"/>
      <c r="X23" s="321"/>
    </row>
    <row r="24" spans="1:24">
      <c r="A24" s="321"/>
      <c r="D24" s="331"/>
      <c r="E24" s="331"/>
      <c r="F24" s="374">
        <v>36</v>
      </c>
      <c r="G24" s="321" t="s">
        <v>161</v>
      </c>
      <c r="H24" s="331">
        <f>'Quick-Scored Profiles'!J20</f>
        <v>3.4550000000000001</v>
      </c>
      <c r="I24" s="331" t="s">
        <v>18</v>
      </c>
      <c r="J24" s="331"/>
      <c r="K24" s="331"/>
      <c r="L24" s="331"/>
      <c r="M24" s="331"/>
      <c r="N24" s="331"/>
      <c r="O24" s="331"/>
      <c r="P24" s="331"/>
      <c r="Q24" s="331"/>
      <c r="R24" s="331"/>
      <c r="S24" s="321"/>
      <c r="T24" s="321"/>
      <c r="U24" s="321"/>
      <c r="V24" s="321"/>
      <c r="W24" s="321"/>
      <c r="X24" s="321"/>
    </row>
    <row r="25" spans="1:24">
      <c r="A25" s="321"/>
      <c r="D25" s="331"/>
      <c r="E25" s="331"/>
      <c r="F25" s="374">
        <v>37</v>
      </c>
      <c r="G25" s="321" t="s">
        <v>162</v>
      </c>
      <c r="H25" s="331">
        <f>'Quick-Scored Profiles'!J21</f>
        <v>3.3600000000000003</v>
      </c>
      <c r="I25" s="331" t="s">
        <v>18</v>
      </c>
      <c r="J25" s="331"/>
      <c r="K25" s="331"/>
      <c r="L25" s="331"/>
      <c r="M25" s="331"/>
      <c r="N25" s="331"/>
      <c r="O25" s="331"/>
      <c r="P25" s="331"/>
      <c r="Q25" s="331"/>
      <c r="R25" s="331"/>
      <c r="S25" s="321"/>
      <c r="T25" s="321"/>
      <c r="U25" s="321"/>
      <c r="X25" s="321"/>
    </row>
    <row r="26" spans="1:24">
      <c r="A26" s="321"/>
      <c r="D26" s="331"/>
      <c r="E26" s="331"/>
      <c r="F26" s="374">
        <v>38</v>
      </c>
      <c r="G26" s="321" t="s">
        <v>24</v>
      </c>
      <c r="H26" s="331">
        <f>'Fully-Scored Profiles'!Z27</f>
        <v>27.810000000000002</v>
      </c>
      <c r="I26" s="331" t="s">
        <v>18</v>
      </c>
      <c r="J26" s="331"/>
      <c r="K26" s="331"/>
      <c r="L26" s="331"/>
      <c r="M26" s="331"/>
      <c r="N26" s="331"/>
      <c r="O26" s="331"/>
      <c r="P26" s="331"/>
      <c r="Q26" s="331"/>
      <c r="R26" s="331"/>
      <c r="S26" s="321"/>
      <c r="T26" s="321"/>
      <c r="U26" s="321"/>
      <c r="X26" s="321"/>
    </row>
    <row r="27" spans="1:24">
      <c r="A27" s="321"/>
      <c r="D27" s="331"/>
      <c r="E27" s="331"/>
      <c r="F27" s="374">
        <v>39</v>
      </c>
      <c r="G27" s="321" t="s">
        <v>461</v>
      </c>
      <c r="H27" s="331">
        <v>1.08</v>
      </c>
      <c r="I27" s="331" t="s">
        <v>263</v>
      </c>
      <c r="J27" s="331"/>
      <c r="K27" s="331"/>
      <c r="L27" s="331"/>
      <c r="M27" s="331"/>
      <c r="N27" s="331"/>
      <c r="O27" s="331"/>
      <c r="P27" s="331"/>
      <c r="Q27" s="331"/>
      <c r="R27" s="331"/>
      <c r="S27" s="321"/>
      <c r="T27" s="321"/>
      <c r="U27" s="321"/>
      <c r="X27" s="321"/>
    </row>
    <row r="28" spans="1:24">
      <c r="D28" s="331"/>
      <c r="E28" s="331"/>
      <c r="F28" s="374">
        <v>40</v>
      </c>
      <c r="G28" s="321" t="s">
        <v>468</v>
      </c>
      <c r="H28" s="331">
        <f>('Fully-Scored Profiles'!Z28)-H27</f>
        <v>13.275</v>
      </c>
      <c r="I28" s="331" t="s">
        <v>18</v>
      </c>
      <c r="J28" s="331"/>
      <c r="K28" s="331"/>
      <c r="L28" s="331"/>
      <c r="M28" s="331"/>
      <c r="N28" s="331"/>
      <c r="O28" s="331"/>
      <c r="P28" s="331"/>
      <c r="Q28" s="331"/>
      <c r="R28" s="331"/>
      <c r="S28" s="321"/>
      <c r="T28" s="321"/>
      <c r="U28" s="321"/>
      <c r="X28" s="321"/>
    </row>
    <row r="29" spans="1:24">
      <c r="A29" s="321"/>
      <c r="D29" s="331"/>
      <c r="E29" s="334"/>
      <c r="F29" s="334"/>
      <c r="G29" s="331"/>
      <c r="H29" s="331"/>
      <c r="I29" s="331"/>
      <c r="J29" s="331"/>
      <c r="K29" s="331"/>
      <c r="L29" s="331"/>
      <c r="M29" s="331"/>
      <c r="N29" s="331"/>
      <c r="O29" s="331"/>
      <c r="P29" s="331"/>
      <c r="Q29" s="331"/>
      <c r="R29" s="331"/>
      <c r="S29" s="321"/>
      <c r="T29" s="321"/>
      <c r="U29" s="321"/>
      <c r="V29" s="328"/>
      <c r="W29" s="334"/>
      <c r="X29" s="321"/>
    </row>
    <row r="30" spans="1:24">
      <c r="A30" s="321"/>
      <c r="D30" s="334"/>
      <c r="E30" s="329"/>
      <c r="F30" s="329"/>
      <c r="G30" s="331"/>
      <c r="H30" s="331"/>
      <c r="I30" s="331"/>
      <c r="J30" s="334"/>
      <c r="K30" s="334"/>
      <c r="L30" s="334"/>
      <c r="M30" s="334"/>
      <c r="N30" s="334"/>
      <c r="O30" s="331"/>
      <c r="P30" s="334"/>
      <c r="Q30" s="331"/>
      <c r="R30" s="331"/>
      <c r="S30" s="321"/>
      <c r="T30" s="321"/>
      <c r="U30" s="321"/>
      <c r="V30" s="551"/>
      <c r="W30" s="551"/>
      <c r="X30" s="321"/>
    </row>
    <row r="31" spans="1:24">
      <c r="A31" s="321"/>
      <c r="D31" s="329"/>
      <c r="E31" s="332"/>
      <c r="F31" s="332"/>
      <c r="G31" s="334"/>
      <c r="H31" s="334"/>
      <c r="I31" s="334"/>
      <c r="J31" s="329"/>
      <c r="K31" s="329"/>
      <c r="L31" s="329"/>
      <c r="M31" s="329"/>
      <c r="N31" s="329"/>
      <c r="O31" s="334"/>
      <c r="P31" s="329"/>
      <c r="Q31" s="331"/>
      <c r="R31" s="331"/>
      <c r="S31" s="321"/>
      <c r="T31" s="321"/>
      <c r="U31" s="321"/>
      <c r="X31" s="321"/>
    </row>
    <row r="32" spans="1:24">
      <c r="A32" s="321"/>
      <c r="D32" s="332"/>
      <c r="E32" s="321"/>
      <c r="F32" s="321"/>
      <c r="G32" s="329"/>
      <c r="H32" s="329"/>
      <c r="I32" s="329"/>
      <c r="J32" s="332"/>
      <c r="K32" s="332"/>
      <c r="L32" s="332"/>
      <c r="M32" s="332"/>
      <c r="N32" s="332"/>
      <c r="O32" s="329"/>
      <c r="P32" s="332"/>
      <c r="Q32" s="331"/>
      <c r="R32" s="331"/>
      <c r="S32" s="321"/>
      <c r="T32" s="321"/>
      <c r="U32" s="321"/>
      <c r="V32" s="321"/>
      <c r="W32" s="321"/>
      <c r="X32" s="321"/>
    </row>
    <row r="33" spans="1:24">
      <c r="A33" s="321"/>
      <c r="D33" s="321"/>
      <c r="E33" s="329"/>
      <c r="F33" s="329"/>
      <c r="G33" s="332"/>
      <c r="H33" s="332"/>
      <c r="I33" s="332"/>
      <c r="J33" s="321"/>
      <c r="K33" s="321"/>
      <c r="L33" s="321"/>
      <c r="M33" s="321"/>
      <c r="N33" s="321"/>
      <c r="O33" s="332"/>
      <c r="P33" s="321"/>
      <c r="Q33" s="331"/>
      <c r="R33" s="331"/>
      <c r="S33" s="321"/>
      <c r="T33" s="321"/>
      <c r="U33" s="321"/>
      <c r="V33" s="551"/>
      <c r="W33" s="551"/>
      <c r="X33" s="321"/>
    </row>
    <row r="34" spans="1:24">
      <c r="A34" s="321"/>
      <c r="D34" s="329"/>
      <c r="E34" s="331"/>
      <c r="F34" s="331"/>
      <c r="G34" s="321"/>
      <c r="H34" s="321"/>
      <c r="I34" s="321"/>
      <c r="J34" s="329"/>
      <c r="K34" s="329"/>
      <c r="L34" s="329"/>
      <c r="M34" s="329"/>
      <c r="N34" s="329"/>
      <c r="O34" s="321"/>
      <c r="P34" s="329"/>
      <c r="Q34" s="334"/>
      <c r="R34" s="334"/>
      <c r="S34" s="321"/>
      <c r="T34" s="321"/>
      <c r="U34" s="321"/>
      <c r="X34" s="321"/>
    </row>
    <row r="35" spans="1:24">
      <c r="A35" s="321"/>
      <c r="D35" s="331"/>
      <c r="E35" s="331"/>
      <c r="F35" s="331"/>
      <c r="G35" s="329"/>
      <c r="H35" s="329"/>
      <c r="I35" s="329"/>
      <c r="J35" s="331"/>
      <c r="K35" s="331"/>
      <c r="L35" s="331"/>
      <c r="M35" s="331"/>
      <c r="N35" s="331"/>
      <c r="O35" s="329"/>
      <c r="P35" s="331"/>
      <c r="Q35" s="329"/>
      <c r="R35" s="329"/>
      <c r="S35" s="321"/>
      <c r="T35" s="321"/>
      <c r="U35" s="321"/>
      <c r="X35" s="321"/>
    </row>
    <row r="36" spans="1:24">
      <c r="A36" s="321"/>
      <c r="D36" s="331"/>
      <c r="E36" s="334"/>
      <c r="F36" s="334"/>
      <c r="G36" s="331"/>
      <c r="H36" s="331"/>
      <c r="I36" s="331"/>
      <c r="J36" s="331"/>
      <c r="K36" s="331"/>
      <c r="L36" s="331"/>
      <c r="M36" s="331"/>
      <c r="N36" s="331"/>
      <c r="O36" s="331"/>
      <c r="P36" s="331"/>
      <c r="Q36" s="332"/>
      <c r="R36" s="332"/>
      <c r="S36" s="321"/>
      <c r="T36" s="321"/>
      <c r="U36" s="321"/>
      <c r="V36" s="321"/>
      <c r="W36" s="321"/>
      <c r="X36" s="321"/>
    </row>
    <row r="37" spans="1:24">
      <c r="A37" s="321"/>
      <c r="B37" s="328"/>
      <c r="C37" s="334"/>
      <c r="D37" s="334"/>
      <c r="E37" s="321"/>
      <c r="F37" s="321"/>
      <c r="G37" s="331"/>
      <c r="H37" s="331"/>
      <c r="I37" s="331"/>
      <c r="J37" s="334"/>
      <c r="K37" s="334"/>
      <c r="L37" s="334"/>
      <c r="M37" s="334"/>
      <c r="N37" s="334"/>
      <c r="O37" s="331"/>
      <c r="P37" s="334"/>
      <c r="Q37" s="321"/>
      <c r="R37" s="321"/>
      <c r="S37" s="321"/>
      <c r="T37" s="321"/>
      <c r="U37" s="321"/>
      <c r="V37" s="321"/>
      <c r="W37" s="321"/>
      <c r="X37" s="321"/>
    </row>
    <row r="38" spans="1:24">
      <c r="A38" s="321"/>
      <c r="B38" s="321"/>
      <c r="C38" s="321"/>
      <c r="D38" s="321"/>
      <c r="E38" s="321"/>
      <c r="F38" s="321"/>
      <c r="G38" s="334"/>
      <c r="H38" s="334"/>
      <c r="I38" s="334"/>
      <c r="J38" s="321"/>
      <c r="K38" s="321"/>
      <c r="L38" s="321"/>
      <c r="M38" s="321"/>
      <c r="N38" s="321"/>
      <c r="O38" s="334"/>
      <c r="P38" s="321"/>
      <c r="Q38" s="329"/>
      <c r="R38" s="329"/>
      <c r="S38" s="321"/>
      <c r="T38" s="321"/>
      <c r="U38" s="321"/>
      <c r="V38" s="321"/>
      <c r="W38" s="321"/>
      <c r="X38" s="321"/>
    </row>
    <row r="39" spans="1:24">
      <c r="A39" s="321"/>
      <c r="B39" s="321"/>
      <c r="C39" s="321"/>
      <c r="D39" s="321"/>
      <c r="E39" s="321"/>
      <c r="F39" s="321"/>
      <c r="G39" s="321"/>
      <c r="H39" s="321"/>
      <c r="I39" s="321"/>
      <c r="J39" s="321"/>
      <c r="K39" s="321"/>
      <c r="L39" s="321"/>
      <c r="M39" s="321"/>
      <c r="N39" s="321"/>
      <c r="O39" s="321"/>
      <c r="P39" s="321"/>
      <c r="Q39" s="331"/>
      <c r="R39" s="331"/>
      <c r="S39" s="321"/>
      <c r="T39" s="321"/>
      <c r="U39" s="321"/>
      <c r="V39" s="321"/>
      <c r="W39" s="321"/>
      <c r="X39" s="321"/>
    </row>
    <row r="40" spans="1:24">
      <c r="A40" s="321"/>
      <c r="B40" s="321"/>
      <c r="C40" s="321"/>
      <c r="D40" s="321"/>
      <c r="E40" s="321"/>
      <c r="F40" s="321"/>
      <c r="G40" s="321"/>
      <c r="H40" s="321"/>
      <c r="I40" s="321"/>
      <c r="J40" s="321"/>
      <c r="K40" s="321"/>
      <c r="L40" s="321"/>
      <c r="M40" s="321"/>
      <c r="N40" s="321"/>
      <c r="O40" s="321"/>
      <c r="P40" s="321"/>
      <c r="Q40" s="331"/>
      <c r="R40" s="331"/>
      <c r="S40" s="321"/>
      <c r="T40" s="321"/>
      <c r="U40" s="321"/>
      <c r="V40" s="321"/>
      <c r="W40" s="321"/>
      <c r="X40" s="321"/>
    </row>
    <row r="41" spans="1:24">
      <c r="A41" s="321"/>
      <c r="B41" s="321"/>
      <c r="C41" s="321"/>
      <c r="D41" s="321"/>
      <c r="E41" s="321"/>
      <c r="F41" s="321"/>
      <c r="G41" s="321"/>
      <c r="H41" s="321"/>
      <c r="I41" s="321"/>
      <c r="J41" s="321"/>
      <c r="K41" s="321"/>
      <c r="L41" s="321"/>
      <c r="M41" s="321"/>
      <c r="N41" s="321"/>
      <c r="O41" s="321"/>
      <c r="P41" s="321"/>
      <c r="Q41" s="334"/>
      <c r="R41" s="334"/>
      <c r="S41" s="321"/>
      <c r="T41" s="321"/>
      <c r="U41" s="321"/>
      <c r="V41" s="321"/>
      <c r="W41" s="321"/>
      <c r="X41" s="321"/>
    </row>
    <row r="42" spans="1:24">
      <c r="A42" s="321"/>
      <c r="B42" s="321"/>
      <c r="C42" s="321"/>
      <c r="D42" s="321"/>
      <c r="E42" s="321"/>
      <c r="F42" s="321"/>
      <c r="G42" s="321"/>
      <c r="H42" s="321"/>
      <c r="I42" s="321"/>
      <c r="J42" s="321"/>
      <c r="K42" s="321"/>
      <c r="L42" s="321"/>
      <c r="M42" s="321"/>
      <c r="N42" s="321"/>
      <c r="O42" s="321"/>
      <c r="P42" s="321"/>
      <c r="Q42" s="321"/>
      <c r="R42" s="321"/>
      <c r="S42" s="321"/>
      <c r="T42" s="321"/>
      <c r="U42" s="321"/>
      <c r="V42" s="321"/>
      <c r="W42" s="321"/>
      <c r="X42" s="321"/>
    </row>
    <row r="43" spans="1:24">
      <c r="A43" s="321"/>
      <c r="B43" s="321"/>
      <c r="C43" s="321"/>
      <c r="D43" s="321"/>
      <c r="E43" s="321"/>
      <c r="F43" s="321"/>
      <c r="G43" s="321"/>
      <c r="H43" s="321"/>
      <c r="I43" s="321"/>
      <c r="J43" s="321"/>
      <c r="K43" s="321"/>
      <c r="L43" s="321"/>
      <c r="M43" s="321"/>
      <c r="N43" s="321"/>
      <c r="O43" s="321"/>
      <c r="P43" s="321"/>
      <c r="Q43" s="321"/>
      <c r="R43" s="321"/>
      <c r="S43" s="321"/>
      <c r="T43" s="321"/>
      <c r="U43" s="321"/>
      <c r="V43" s="321"/>
      <c r="W43" s="321"/>
      <c r="X43" s="321"/>
    </row>
    <row r="44" spans="1:24">
      <c r="A44" s="321"/>
      <c r="B44" s="321"/>
      <c r="C44" s="321"/>
      <c r="D44" s="321"/>
      <c r="E44" s="321"/>
      <c r="F44" s="321"/>
      <c r="G44" s="321"/>
      <c r="H44" s="321"/>
      <c r="I44" s="321"/>
      <c r="J44" s="321"/>
      <c r="K44" s="321"/>
      <c r="L44" s="321"/>
      <c r="M44" s="321"/>
      <c r="N44" s="321"/>
      <c r="O44" s="321"/>
      <c r="P44" s="321"/>
      <c r="Q44" s="321"/>
      <c r="R44" s="321"/>
      <c r="S44" s="321"/>
      <c r="T44" s="321"/>
      <c r="V44" s="321"/>
      <c r="W44" s="321"/>
    </row>
    <row r="45" spans="1:24">
      <c r="A45" s="321"/>
      <c r="B45" s="321"/>
      <c r="C45" s="321"/>
      <c r="D45" s="321"/>
      <c r="E45" s="321"/>
      <c r="F45" s="321"/>
      <c r="G45" s="321"/>
      <c r="H45" s="321"/>
      <c r="I45" s="321"/>
      <c r="J45" s="321"/>
      <c r="K45" s="321"/>
      <c r="L45" s="321"/>
      <c r="M45" s="321"/>
      <c r="N45" s="321"/>
      <c r="O45" s="321"/>
      <c r="P45" s="321"/>
      <c r="Q45" s="321"/>
      <c r="R45" s="321"/>
    </row>
    <row r="46" spans="1:24">
      <c r="A46" s="321"/>
      <c r="B46" s="321"/>
      <c r="C46" s="321"/>
      <c r="D46" s="321"/>
      <c r="E46" s="321"/>
      <c r="F46" s="321"/>
      <c r="G46" s="321"/>
      <c r="H46" s="321"/>
      <c r="I46" s="321"/>
      <c r="J46" s="321"/>
      <c r="K46" s="321"/>
      <c r="L46" s="321"/>
      <c r="M46" s="321"/>
      <c r="N46" s="321"/>
      <c r="O46" s="321"/>
      <c r="P46" s="321"/>
      <c r="Q46" s="321"/>
      <c r="R46" s="321"/>
    </row>
    <row r="47" spans="1:24">
      <c r="A47" s="321"/>
      <c r="B47" s="321"/>
      <c r="C47" s="321"/>
      <c r="D47" s="321"/>
      <c r="E47" s="321"/>
      <c r="F47" s="321"/>
      <c r="G47" s="321"/>
      <c r="H47" s="321"/>
      <c r="I47" s="321"/>
      <c r="J47" s="321"/>
      <c r="K47" s="321"/>
      <c r="L47" s="321"/>
      <c r="M47" s="321"/>
      <c r="N47" s="321"/>
      <c r="O47" s="321"/>
      <c r="P47" s="321"/>
      <c r="Q47" s="321"/>
      <c r="R47" s="321"/>
    </row>
    <row r="48" spans="1:24">
      <c r="B48" s="321"/>
      <c r="C48" s="321"/>
      <c r="D48" s="321"/>
      <c r="E48" s="321"/>
      <c r="F48" s="321"/>
      <c r="G48" s="321"/>
      <c r="H48" s="321"/>
      <c r="I48" s="321"/>
      <c r="J48" s="321"/>
      <c r="K48" s="321"/>
      <c r="L48" s="321"/>
      <c r="M48" s="321"/>
      <c r="N48" s="321"/>
      <c r="O48" s="321"/>
      <c r="P48" s="321"/>
      <c r="Q48" s="321"/>
      <c r="R48" s="321"/>
    </row>
    <row r="49" spans="2:18">
      <c r="B49" s="321"/>
      <c r="C49" s="321"/>
      <c r="D49" s="321"/>
      <c r="E49" s="321"/>
      <c r="F49" s="321"/>
      <c r="G49" s="321"/>
      <c r="H49" s="321"/>
      <c r="I49" s="321"/>
      <c r="J49" s="321"/>
      <c r="K49" s="321"/>
      <c r="L49" s="321"/>
      <c r="M49" s="321"/>
      <c r="N49" s="321"/>
      <c r="O49" s="321"/>
      <c r="P49" s="321"/>
      <c r="Q49" s="321"/>
      <c r="R49" s="321"/>
    </row>
    <row r="50" spans="2:18">
      <c r="B50" s="321"/>
      <c r="C50" s="321"/>
      <c r="D50" s="321"/>
      <c r="E50" s="321"/>
      <c r="F50" s="321"/>
      <c r="G50" s="321"/>
      <c r="H50" s="321"/>
      <c r="I50" s="321"/>
      <c r="J50" s="321"/>
      <c r="K50" s="321"/>
      <c r="L50" s="321"/>
      <c r="M50" s="321"/>
      <c r="N50" s="321"/>
      <c r="O50" s="321"/>
      <c r="P50" s="321"/>
      <c r="Q50" s="321"/>
      <c r="R50" s="321"/>
    </row>
    <row r="51" spans="2:18">
      <c r="B51" s="321"/>
      <c r="C51" s="321"/>
      <c r="D51" s="321"/>
      <c r="E51" s="321"/>
      <c r="F51" s="321"/>
      <c r="G51" s="321"/>
      <c r="H51" s="321"/>
      <c r="I51" s="321"/>
      <c r="J51" s="321"/>
      <c r="K51" s="321"/>
      <c r="L51" s="321"/>
      <c r="M51" s="321"/>
      <c r="N51" s="321"/>
      <c r="O51" s="321"/>
      <c r="P51" s="321"/>
      <c r="Q51" s="321"/>
      <c r="R51" s="321"/>
    </row>
    <row r="52" spans="2:18">
      <c r="B52" s="321"/>
      <c r="C52" s="321"/>
      <c r="D52" s="321"/>
      <c r="E52" s="321"/>
      <c r="F52" s="321"/>
      <c r="G52" s="321"/>
      <c r="H52" s="321"/>
      <c r="I52" s="321"/>
      <c r="J52" s="321"/>
      <c r="K52" s="321"/>
      <c r="L52" s="321"/>
      <c r="M52" s="321"/>
      <c r="N52" s="321"/>
      <c r="O52" s="321"/>
      <c r="P52" s="321"/>
      <c r="Q52" s="321"/>
      <c r="R52" s="321"/>
    </row>
    <row r="53" spans="2:18">
      <c r="B53" s="321"/>
      <c r="C53" s="321"/>
      <c r="D53" s="321"/>
      <c r="E53" s="321"/>
      <c r="F53" s="321"/>
      <c r="G53" s="321"/>
      <c r="H53" s="321"/>
      <c r="I53" s="321"/>
      <c r="J53" s="321"/>
      <c r="K53" s="321"/>
      <c r="L53" s="321"/>
      <c r="M53" s="321"/>
      <c r="N53" s="321"/>
      <c r="O53" s="321"/>
      <c r="P53" s="321"/>
      <c r="Q53" s="321"/>
      <c r="R53" s="321"/>
    </row>
    <row r="54" spans="2:18">
      <c r="B54" s="321"/>
      <c r="C54" s="321"/>
      <c r="D54" s="321"/>
      <c r="G54" s="321"/>
      <c r="H54" s="321"/>
      <c r="I54" s="321"/>
      <c r="J54" s="321"/>
      <c r="K54" s="321"/>
      <c r="L54" s="321"/>
      <c r="M54" s="321"/>
      <c r="N54" s="321"/>
      <c r="O54" s="321"/>
      <c r="P54" s="321"/>
      <c r="Q54" s="321"/>
      <c r="R54" s="321"/>
    </row>
    <row r="55" spans="2:18">
      <c r="G55" s="321"/>
      <c r="H55" s="321"/>
      <c r="I55" s="321"/>
      <c r="O55" s="321"/>
      <c r="Q55" s="321"/>
      <c r="R55" s="321"/>
    </row>
    <row r="56" spans="2:18">
      <c r="Q56" s="321"/>
      <c r="R56" s="321"/>
    </row>
    <row r="57" spans="2:18">
      <c r="Q57" s="321"/>
      <c r="R57" s="321"/>
    </row>
    <row r="58" spans="2:18">
      <c r="Q58" s="321"/>
      <c r="R58" s="321"/>
    </row>
  </sheetData>
  <mergeCells count="14">
    <mergeCell ref="AP2:AQ2"/>
    <mergeCell ref="AR2:AS2"/>
    <mergeCell ref="AT2:AU2"/>
    <mergeCell ref="AJ8:AK8"/>
    <mergeCell ref="AL8:AM8"/>
    <mergeCell ref="AN8:AO8"/>
    <mergeCell ref="AP8:AQ8"/>
    <mergeCell ref="AR8:AS8"/>
    <mergeCell ref="AT8:AU8"/>
    <mergeCell ref="V30:W30"/>
    <mergeCell ref="V33:W33"/>
    <mergeCell ref="AJ2:AK2"/>
    <mergeCell ref="AL2:AM2"/>
    <mergeCell ref="AN2:AO2"/>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zoomScale="60" zoomScaleNormal="60" zoomScalePageLayoutView="60" workbookViewId="0"/>
  </sheetViews>
  <sheetFormatPr baseColWidth="10" defaultRowHeight="15" x14ac:dyDescent="0"/>
  <cols>
    <col min="1" max="1" width="22.6640625" customWidth="1"/>
    <col min="2" max="2" width="15.83203125" customWidth="1"/>
    <col min="3" max="3" width="13.5" customWidth="1"/>
    <col min="5" max="5" width="18.1640625" customWidth="1"/>
    <col min="6" max="6" width="15.83203125" customWidth="1"/>
    <col min="7" max="7" width="17.1640625" customWidth="1"/>
    <col min="8" max="8" width="13.1640625" customWidth="1"/>
    <col min="9" max="9" width="13" customWidth="1"/>
    <col min="11" max="11" width="16" customWidth="1"/>
    <col min="12" max="13" width="5" customWidth="1"/>
    <col min="14" max="14" width="4.83203125" customWidth="1"/>
    <col min="15" max="15" width="5.6640625" customWidth="1"/>
    <col min="16" max="16" width="5.33203125" customWidth="1"/>
    <col min="17" max="17" width="5.1640625" customWidth="1"/>
    <col min="18" max="18" width="4.5" customWidth="1"/>
    <col min="19" max="20" width="5" customWidth="1"/>
    <col min="21" max="21" width="4.5" customWidth="1"/>
    <col min="22" max="22" width="5.1640625" customWidth="1"/>
    <col min="23" max="23" width="4.5" customWidth="1"/>
    <col min="24" max="24" width="5" customWidth="1"/>
    <col min="25" max="25" width="5.1640625" customWidth="1"/>
    <col min="26" max="26" width="5.33203125" customWidth="1"/>
    <col min="27" max="27" width="9.1640625" customWidth="1"/>
  </cols>
  <sheetData>
    <row r="1" spans="1:27" s="17" customFormat="1" ht="26" customHeight="1">
      <c r="A1" s="445"/>
      <c r="B1" s="446" t="s">
        <v>401</v>
      </c>
      <c r="C1" s="446" t="s">
        <v>402</v>
      </c>
      <c r="D1" s="446" t="s">
        <v>403</v>
      </c>
      <c r="E1" s="446" t="s">
        <v>404</v>
      </c>
      <c r="F1" s="446" t="s">
        <v>405</v>
      </c>
      <c r="G1" s="447" t="s">
        <v>406</v>
      </c>
      <c r="H1" s="446" t="s">
        <v>407</v>
      </c>
      <c r="I1" s="445" t="s">
        <v>411</v>
      </c>
      <c r="K1" s="443"/>
      <c r="L1" s="558" t="s">
        <v>436</v>
      </c>
      <c r="M1" s="559"/>
      <c r="N1" s="558" t="s">
        <v>437</v>
      </c>
      <c r="O1" s="559"/>
      <c r="P1" s="558" t="s">
        <v>438</v>
      </c>
      <c r="Q1" s="559"/>
      <c r="R1" s="558" t="s">
        <v>439</v>
      </c>
      <c r="S1" s="559"/>
      <c r="T1" s="558" t="s">
        <v>440</v>
      </c>
      <c r="U1" s="559"/>
      <c r="V1" s="558" t="s">
        <v>441</v>
      </c>
      <c r="W1" s="559"/>
      <c r="X1" s="558" t="s">
        <v>442</v>
      </c>
      <c r="Y1" s="559"/>
      <c r="Z1" s="558" t="s">
        <v>443</v>
      </c>
      <c r="AA1" s="559"/>
    </row>
    <row r="2" spans="1:27" ht="28">
      <c r="A2" s="448" t="s">
        <v>408</v>
      </c>
      <c r="B2" s="449">
        <v>8</v>
      </c>
      <c r="C2" s="449">
        <v>35</v>
      </c>
      <c r="D2" s="449">
        <v>6</v>
      </c>
      <c r="E2" s="449">
        <v>10</v>
      </c>
      <c r="F2" s="449">
        <v>0</v>
      </c>
      <c r="G2" s="448">
        <v>3</v>
      </c>
      <c r="H2" s="448">
        <v>0</v>
      </c>
      <c r="I2" s="448">
        <v>0</v>
      </c>
      <c r="K2" s="443"/>
      <c r="L2" s="441">
        <v>2013</v>
      </c>
      <c r="M2" s="441">
        <v>2014</v>
      </c>
      <c r="N2" s="441">
        <v>2013</v>
      </c>
      <c r="O2" s="441">
        <v>2014</v>
      </c>
      <c r="P2" s="441">
        <v>2013</v>
      </c>
      <c r="Q2" s="441">
        <v>2014</v>
      </c>
      <c r="R2" s="441">
        <v>2013</v>
      </c>
      <c r="S2" s="441">
        <v>2014</v>
      </c>
      <c r="T2" s="441">
        <v>2013</v>
      </c>
      <c r="U2" s="441">
        <v>2014</v>
      </c>
      <c r="V2" s="442">
        <v>2013</v>
      </c>
      <c r="W2" s="442">
        <v>2014</v>
      </c>
      <c r="X2" s="442">
        <v>2013</v>
      </c>
      <c r="Y2" s="442">
        <v>2014</v>
      </c>
      <c r="Z2" s="442">
        <v>2013</v>
      </c>
      <c r="AA2" s="455" t="s">
        <v>446</v>
      </c>
    </row>
    <row r="3" spans="1:27">
      <c r="A3" s="450" t="s">
        <v>409</v>
      </c>
      <c r="B3" s="448">
        <v>1</v>
      </c>
      <c r="C3" s="448">
        <v>0</v>
      </c>
      <c r="D3" s="448">
        <v>6</v>
      </c>
      <c r="E3" s="448">
        <v>8</v>
      </c>
      <c r="F3" s="448">
        <v>3</v>
      </c>
      <c r="G3" s="448">
        <v>6</v>
      </c>
      <c r="H3" s="448">
        <v>33</v>
      </c>
      <c r="I3" s="448">
        <v>6</v>
      </c>
      <c r="K3" s="444" t="s">
        <v>408</v>
      </c>
      <c r="L3" s="454">
        <v>2</v>
      </c>
      <c r="M3" s="454">
        <f>B2</f>
        <v>8</v>
      </c>
      <c r="N3" s="454">
        <v>8</v>
      </c>
      <c r="O3" s="454">
        <f>C2</f>
        <v>35</v>
      </c>
      <c r="P3" s="454">
        <v>0</v>
      </c>
      <c r="Q3" s="454">
        <f>D2</f>
        <v>6</v>
      </c>
      <c r="R3" s="454">
        <v>4</v>
      </c>
      <c r="S3" s="456">
        <f>E2</f>
        <v>10</v>
      </c>
      <c r="T3" s="454">
        <v>0</v>
      </c>
      <c r="U3" s="454">
        <f>F2</f>
        <v>0</v>
      </c>
      <c r="V3" s="455">
        <v>0</v>
      </c>
      <c r="W3" s="457">
        <f>G2</f>
        <v>3</v>
      </c>
      <c r="X3" s="452">
        <v>0</v>
      </c>
      <c r="Y3" s="452">
        <f>H2</f>
        <v>0</v>
      </c>
      <c r="Z3" s="452">
        <v>49</v>
      </c>
      <c r="AA3" s="452">
        <f>I2</f>
        <v>0</v>
      </c>
    </row>
    <row r="4" spans="1:27" ht="28">
      <c r="A4" s="451" t="s">
        <v>410</v>
      </c>
      <c r="B4" s="451">
        <v>0</v>
      </c>
      <c r="C4" s="451">
        <v>10</v>
      </c>
      <c r="D4" s="451">
        <v>10</v>
      </c>
      <c r="E4" s="451">
        <v>4</v>
      </c>
      <c r="F4" s="451">
        <v>4</v>
      </c>
      <c r="G4" s="451">
        <v>0</v>
      </c>
      <c r="H4" s="451">
        <v>0</v>
      </c>
      <c r="I4" s="451">
        <v>0</v>
      </c>
      <c r="K4" s="444" t="s">
        <v>434</v>
      </c>
      <c r="L4" s="454">
        <v>5</v>
      </c>
      <c r="M4" s="454">
        <f>B3</f>
        <v>1</v>
      </c>
      <c r="N4" s="454">
        <v>1</v>
      </c>
      <c r="O4" s="454">
        <f>C3</f>
        <v>0</v>
      </c>
      <c r="P4" s="454">
        <v>18</v>
      </c>
      <c r="Q4" s="458">
        <f>D3</f>
        <v>6</v>
      </c>
      <c r="R4" s="454">
        <v>17</v>
      </c>
      <c r="S4" s="456">
        <f>E3</f>
        <v>8</v>
      </c>
      <c r="T4" s="454">
        <v>7</v>
      </c>
      <c r="U4" s="454">
        <f>F3</f>
        <v>3</v>
      </c>
      <c r="V4" s="455">
        <v>9</v>
      </c>
      <c r="W4" s="457">
        <f>G3</f>
        <v>6</v>
      </c>
      <c r="X4" s="452">
        <v>33</v>
      </c>
      <c r="Y4" s="452">
        <f>H3</f>
        <v>33</v>
      </c>
      <c r="Z4" s="452">
        <v>0</v>
      </c>
      <c r="AA4" s="452">
        <f>I3</f>
        <v>6</v>
      </c>
    </row>
    <row r="5" spans="1:27" ht="28">
      <c r="K5" s="444" t="s">
        <v>435</v>
      </c>
      <c r="L5" s="454">
        <v>2</v>
      </c>
      <c r="M5" s="454">
        <f>B4</f>
        <v>0</v>
      </c>
      <c r="N5" s="454">
        <v>26</v>
      </c>
      <c r="O5" s="454">
        <f>C4</f>
        <v>10</v>
      </c>
      <c r="P5" s="454">
        <v>4</v>
      </c>
      <c r="Q5" s="454">
        <f>D4</f>
        <v>10</v>
      </c>
      <c r="R5" s="454">
        <v>1</v>
      </c>
      <c r="S5" s="454">
        <f>E4</f>
        <v>4</v>
      </c>
      <c r="T5" s="454">
        <v>0</v>
      </c>
      <c r="U5" s="454">
        <f>F4</f>
        <v>4</v>
      </c>
      <c r="V5" s="455">
        <v>0</v>
      </c>
      <c r="W5" s="457">
        <f>G4</f>
        <v>0</v>
      </c>
      <c r="X5" s="452">
        <v>0</v>
      </c>
      <c r="Y5" s="452">
        <f>H4</f>
        <v>0</v>
      </c>
      <c r="Z5" s="452">
        <v>19</v>
      </c>
      <c r="AA5" s="452">
        <f>I4</f>
        <v>0</v>
      </c>
    </row>
    <row r="6" spans="1:27" ht="28" customHeight="1">
      <c r="K6" s="444" t="s">
        <v>444</v>
      </c>
      <c r="L6" s="453">
        <f>L3/SUM(L3:L5)</f>
        <v>0.22222222222222221</v>
      </c>
      <c r="M6" s="453">
        <f t="shared" ref="M6:AA6" si="0">M3/SUM(M3:M5)</f>
        <v>0.88888888888888884</v>
      </c>
      <c r="N6" s="453">
        <f t="shared" si="0"/>
        <v>0.22857142857142856</v>
      </c>
      <c r="O6" s="453">
        <f t="shared" si="0"/>
        <v>0.77777777777777779</v>
      </c>
      <c r="P6" s="453">
        <f t="shared" si="0"/>
        <v>0</v>
      </c>
      <c r="Q6" s="453">
        <f t="shared" si="0"/>
        <v>0.27272727272727271</v>
      </c>
      <c r="R6" s="453">
        <f t="shared" si="0"/>
        <v>0.18181818181818182</v>
      </c>
      <c r="S6" s="453">
        <f t="shared" si="0"/>
        <v>0.45454545454545453</v>
      </c>
      <c r="T6" s="453">
        <f t="shared" si="0"/>
        <v>0</v>
      </c>
      <c r="U6" s="453">
        <f t="shared" si="0"/>
        <v>0</v>
      </c>
      <c r="V6" s="453">
        <f t="shared" si="0"/>
        <v>0</v>
      </c>
      <c r="W6" s="453">
        <f t="shared" si="0"/>
        <v>0.33333333333333331</v>
      </c>
      <c r="X6" s="453">
        <f t="shared" si="0"/>
        <v>0</v>
      </c>
      <c r="Y6" s="453">
        <f t="shared" si="0"/>
        <v>0</v>
      </c>
      <c r="Z6" s="453">
        <f t="shared" si="0"/>
        <v>0.72058823529411764</v>
      </c>
      <c r="AA6" s="453">
        <f t="shared" si="0"/>
        <v>0</v>
      </c>
    </row>
    <row r="7" spans="1:27" ht="28">
      <c r="K7" s="444" t="s">
        <v>445</v>
      </c>
      <c r="L7" s="453">
        <f>L5/SUM(L3:L5)</f>
        <v>0.22222222222222221</v>
      </c>
      <c r="M7" s="453">
        <f t="shared" ref="M7:AA7" si="1">M5/SUM(M3:M5)</f>
        <v>0</v>
      </c>
      <c r="N7" s="453">
        <f t="shared" si="1"/>
        <v>0.74285714285714288</v>
      </c>
      <c r="O7" s="453">
        <f t="shared" si="1"/>
        <v>0.22222222222222221</v>
      </c>
      <c r="P7" s="453">
        <f t="shared" si="1"/>
        <v>0.18181818181818182</v>
      </c>
      <c r="Q7" s="453">
        <f t="shared" si="1"/>
        <v>0.45454545454545453</v>
      </c>
      <c r="R7" s="453">
        <f t="shared" si="1"/>
        <v>4.5454545454545456E-2</v>
      </c>
      <c r="S7" s="453">
        <f t="shared" si="1"/>
        <v>0.18181818181818182</v>
      </c>
      <c r="T7" s="453">
        <f t="shared" si="1"/>
        <v>0</v>
      </c>
      <c r="U7" s="453">
        <f t="shared" si="1"/>
        <v>0.5714285714285714</v>
      </c>
      <c r="V7" s="453">
        <f t="shared" si="1"/>
        <v>0</v>
      </c>
      <c r="W7" s="453">
        <f t="shared" si="1"/>
        <v>0</v>
      </c>
      <c r="X7" s="453">
        <f t="shared" si="1"/>
        <v>0</v>
      </c>
      <c r="Y7" s="453">
        <f t="shared" si="1"/>
        <v>0</v>
      </c>
      <c r="Z7" s="453">
        <f t="shared" si="1"/>
        <v>0.27941176470588236</v>
      </c>
      <c r="AA7" s="453">
        <f t="shared" si="1"/>
        <v>0</v>
      </c>
    </row>
    <row r="8" spans="1:27">
      <c r="K8" s="436" t="s">
        <v>432</v>
      </c>
    </row>
  </sheetData>
  <mergeCells count="8">
    <mergeCell ref="X1:Y1"/>
    <mergeCell ref="Z1:AA1"/>
    <mergeCell ref="L1:M1"/>
    <mergeCell ref="N1:O1"/>
    <mergeCell ref="P1:Q1"/>
    <mergeCell ref="R1:S1"/>
    <mergeCell ref="T1:U1"/>
    <mergeCell ref="V1:W1"/>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4"/>
  <sheetViews>
    <sheetView workbookViewId="0"/>
  </sheetViews>
  <sheetFormatPr baseColWidth="10" defaultColWidth="8.83203125" defaultRowHeight="13" x14ac:dyDescent="0"/>
  <cols>
    <col min="1" max="1" width="6.5" style="207" customWidth="1"/>
    <col min="2" max="2" width="8.83203125" style="207"/>
    <col min="3" max="3" width="7.33203125" style="207" customWidth="1"/>
    <col min="4" max="7" width="8.83203125" style="207"/>
    <col min="8" max="8" width="10.83203125" style="207" customWidth="1"/>
    <col min="9" max="9" width="10" style="207" customWidth="1"/>
    <col min="10" max="10" width="9.6640625" style="207" customWidth="1"/>
    <col min="11" max="11" width="10.33203125" style="207" customWidth="1"/>
    <col min="12" max="12" width="8.83203125" style="207"/>
    <col min="13" max="13" width="11.1640625" style="207" customWidth="1"/>
    <col min="14" max="14" width="8.83203125" style="207"/>
    <col min="15" max="15" width="9" style="207" customWidth="1"/>
    <col min="16" max="16" width="8.83203125" style="207"/>
    <col min="17" max="17" width="10.6640625" style="207" customWidth="1"/>
    <col min="18" max="18" width="10.33203125" style="207" customWidth="1"/>
    <col min="19" max="19" width="9.83203125" style="207" customWidth="1"/>
    <col min="20" max="20" width="10.5" style="207" customWidth="1"/>
    <col min="21" max="21" width="9.5" style="207" customWidth="1"/>
    <col min="22" max="22" width="11" style="207" customWidth="1"/>
    <col min="23" max="23" width="12.5" style="207" customWidth="1"/>
    <col min="24" max="24" width="11.83203125" style="207" customWidth="1"/>
    <col min="25" max="25" width="13.33203125" style="207" customWidth="1"/>
    <col min="26" max="26" width="13.83203125" style="207" customWidth="1"/>
    <col min="27" max="27" width="10.6640625" style="207" customWidth="1"/>
    <col min="28" max="29" width="10.5" style="207" customWidth="1"/>
    <col min="30" max="30" width="11.1640625" style="207" customWidth="1"/>
    <col min="31" max="31" width="10.5" style="207" customWidth="1"/>
    <col min="32" max="32" width="13.5" style="207" customWidth="1"/>
    <col min="33" max="16384" width="8.83203125" style="207"/>
  </cols>
  <sheetData>
    <row r="1" spans="1:32" ht="14" thickBot="1"/>
    <row r="2" spans="1:32" ht="15" customHeight="1">
      <c r="A2" s="238"/>
      <c r="B2" s="563" t="s">
        <v>223</v>
      </c>
      <c r="C2" s="564"/>
      <c r="D2" s="564"/>
      <c r="E2" s="564"/>
      <c r="F2" s="564"/>
      <c r="G2" s="565"/>
      <c r="H2" s="563" t="s">
        <v>222</v>
      </c>
      <c r="I2" s="564"/>
      <c r="J2" s="564"/>
      <c r="K2" s="564"/>
      <c r="L2" s="565"/>
      <c r="M2" s="563" t="s">
        <v>221</v>
      </c>
      <c r="N2" s="564"/>
      <c r="O2" s="564"/>
      <c r="P2" s="564"/>
      <c r="Q2" s="565"/>
      <c r="R2" s="563" t="s">
        <v>220</v>
      </c>
      <c r="S2" s="564"/>
      <c r="T2" s="564"/>
      <c r="U2" s="564"/>
      <c r="V2" s="565"/>
      <c r="W2" s="560" t="s">
        <v>219</v>
      </c>
      <c r="X2" s="561"/>
      <c r="Y2" s="561"/>
      <c r="Z2" s="562"/>
      <c r="AA2" s="560" t="s">
        <v>426</v>
      </c>
      <c r="AB2" s="561"/>
      <c r="AC2" s="561"/>
      <c r="AD2" s="561"/>
      <c r="AE2" s="562"/>
      <c r="AF2" s="386" t="s">
        <v>416</v>
      </c>
    </row>
    <row r="3" spans="1:32">
      <c r="A3" s="223"/>
      <c r="B3" s="237" t="s">
        <v>57</v>
      </c>
      <c r="C3" s="236" t="s">
        <v>216</v>
      </c>
      <c r="D3" s="236" t="s">
        <v>217</v>
      </c>
      <c r="E3" s="236" t="s">
        <v>218</v>
      </c>
      <c r="F3" s="236" t="s">
        <v>61</v>
      </c>
      <c r="G3" s="235" t="s">
        <v>215</v>
      </c>
      <c r="H3" s="237" t="s">
        <v>57</v>
      </c>
      <c r="I3" s="236" t="s">
        <v>216</v>
      </c>
      <c r="J3" s="236" t="s">
        <v>218</v>
      </c>
      <c r="K3" s="236" t="s">
        <v>61</v>
      </c>
      <c r="L3" s="235" t="s">
        <v>215</v>
      </c>
      <c r="M3" s="237" t="s">
        <v>57</v>
      </c>
      <c r="N3" s="236" t="s">
        <v>216</v>
      </c>
      <c r="O3" s="236" t="s">
        <v>217</v>
      </c>
      <c r="P3" s="232" t="s">
        <v>61</v>
      </c>
      <c r="Q3" s="235" t="s">
        <v>215</v>
      </c>
      <c r="R3" s="237" t="s">
        <v>57</v>
      </c>
      <c r="S3" s="236" t="s">
        <v>216</v>
      </c>
      <c r="T3" s="236" t="s">
        <v>217</v>
      </c>
      <c r="U3" s="236" t="s">
        <v>61</v>
      </c>
      <c r="V3" s="235" t="s">
        <v>215</v>
      </c>
      <c r="W3" s="237" t="s">
        <v>57</v>
      </c>
      <c r="X3" s="236" t="s">
        <v>216</v>
      </c>
      <c r="Y3" s="236" t="s">
        <v>61</v>
      </c>
      <c r="Z3" s="235" t="s">
        <v>215</v>
      </c>
      <c r="AA3" s="237" t="s">
        <v>57</v>
      </c>
      <c r="AB3" s="236" t="s">
        <v>216</v>
      </c>
      <c r="AC3" s="236" t="s">
        <v>218</v>
      </c>
      <c r="AD3" s="424" t="s">
        <v>217</v>
      </c>
      <c r="AE3" s="417" t="s">
        <v>61</v>
      </c>
      <c r="AF3" s="387" t="s">
        <v>215</v>
      </c>
    </row>
    <row r="4" spans="1:32">
      <c r="A4" s="250">
        <v>1997</v>
      </c>
      <c r="B4" s="229">
        <v>64.124099999999999</v>
      </c>
      <c r="C4" s="230">
        <v>8.6560000000000006</v>
      </c>
      <c r="D4" s="227">
        <f>66.034-B4</f>
        <v>1.9099000000000075</v>
      </c>
      <c r="E4" s="228">
        <v>236.99</v>
      </c>
      <c r="F4" s="230">
        <f>19.432+C4</f>
        <v>28.088000000000001</v>
      </c>
      <c r="G4" s="226">
        <f t="shared" ref="G4:G18" si="0">SUM(B4:F4)</f>
        <v>339.76800000000003</v>
      </c>
      <c r="H4" s="234">
        <v>119.8934</v>
      </c>
      <c r="I4" s="233">
        <v>11.93</v>
      </c>
      <c r="J4" s="230">
        <v>13.041</v>
      </c>
      <c r="K4" s="227">
        <v>190.24600000000001</v>
      </c>
      <c r="L4" s="231">
        <f t="shared" ref="L4:L18" si="1">SUM(H4:K4)</f>
        <v>335.11040000000003</v>
      </c>
      <c r="M4" s="229">
        <v>10.677</v>
      </c>
      <c r="N4" s="228">
        <v>0.64</v>
      </c>
      <c r="O4" s="230">
        <f>11.116-M4</f>
        <v>0.43900000000000006</v>
      </c>
      <c r="P4" s="227">
        <f>1.884+0.579</f>
        <v>2.4630000000000001</v>
      </c>
      <c r="Q4" s="226">
        <f t="shared" ref="Q4:Q18" si="2">SUM(M4:P4)</f>
        <v>14.219000000000001</v>
      </c>
      <c r="R4" s="234">
        <v>5.3902999999999999</v>
      </c>
      <c r="S4" s="228">
        <v>1.476</v>
      </c>
      <c r="T4" s="230">
        <f>10.541-R4</f>
        <v>5.1507000000000005</v>
      </c>
      <c r="U4" s="227">
        <f>0.601+0.462</f>
        <v>1.0629999999999999</v>
      </c>
      <c r="V4" s="231">
        <f t="shared" ref="V4:V18" si="3">SUM(R4:U4)</f>
        <v>13.08</v>
      </c>
      <c r="W4" s="229">
        <v>84.92</v>
      </c>
      <c r="X4" s="228">
        <v>24.63</v>
      </c>
      <c r="Y4" s="227">
        <v>22.308</v>
      </c>
      <c r="Z4" s="226">
        <f t="shared" ref="Z4:Z20" si="4">SUM(W4:Y4)</f>
        <v>131.858</v>
      </c>
      <c r="AA4" s="418">
        <f>B4+H4+M4+R4+W4</f>
        <v>285.00479999999999</v>
      </c>
      <c r="AB4" s="419">
        <f>C4+I4+N4+S4+X4</f>
        <v>47.331999999999994</v>
      </c>
      <c r="AC4" s="419">
        <f>E4+J4</f>
        <v>250.03100000000001</v>
      </c>
      <c r="AD4" s="419">
        <f>D4+O4+T4</f>
        <v>7.499600000000008</v>
      </c>
      <c r="AE4" s="420">
        <f>F4+K4+P4+U4+Y4</f>
        <v>244.16799999999998</v>
      </c>
      <c r="AF4" s="388">
        <f>G4+L4+Q4+V4+Z4</f>
        <v>834.03540000000021</v>
      </c>
    </row>
    <row r="5" spans="1:32">
      <c r="A5" s="250">
        <v>1998</v>
      </c>
      <c r="B5" s="229">
        <v>74.495100000000008</v>
      </c>
      <c r="C5" s="230">
        <v>19.905999999999999</v>
      </c>
      <c r="D5" s="227">
        <f>77.443-B5</f>
        <v>2.94789999999999</v>
      </c>
      <c r="E5" s="228">
        <v>178.14</v>
      </c>
      <c r="F5" s="230">
        <f>25.135+C5</f>
        <v>45.040999999999997</v>
      </c>
      <c r="G5" s="226">
        <f t="shared" si="0"/>
        <v>320.52999999999997</v>
      </c>
      <c r="H5" s="234">
        <v>170.33170000000001</v>
      </c>
      <c r="I5" s="233">
        <v>3.92</v>
      </c>
      <c r="J5" s="230">
        <v>22.327999999999999</v>
      </c>
      <c r="K5" s="227">
        <v>193.01300000000001</v>
      </c>
      <c r="L5" s="231">
        <f t="shared" si="1"/>
        <v>389.59270000000004</v>
      </c>
      <c r="M5" s="229">
        <v>16.718799999999998</v>
      </c>
      <c r="N5" s="228">
        <v>0.02</v>
      </c>
      <c r="O5" s="230">
        <f>17.479-M5</f>
        <v>0.7602000000000011</v>
      </c>
      <c r="P5" s="227">
        <f>1.679+0.709</f>
        <v>2.3879999999999999</v>
      </c>
      <c r="Q5" s="226">
        <f t="shared" si="2"/>
        <v>19.887</v>
      </c>
      <c r="R5" s="234">
        <v>4.6216999999999997</v>
      </c>
      <c r="S5" s="228">
        <v>1.401</v>
      </c>
      <c r="T5" s="230">
        <f>7.255-R5</f>
        <v>2.6333000000000002</v>
      </c>
      <c r="U5" s="227">
        <f>0.461+0.329</f>
        <v>0.79</v>
      </c>
      <c r="V5" s="231">
        <f t="shared" si="3"/>
        <v>9.445999999999998</v>
      </c>
      <c r="W5" s="229">
        <v>58.15</v>
      </c>
      <c r="X5" s="228">
        <v>5.0599999999999996</v>
      </c>
      <c r="Y5" s="227">
        <v>15.26</v>
      </c>
      <c r="Z5" s="226">
        <f t="shared" si="4"/>
        <v>78.47</v>
      </c>
      <c r="AA5" s="418">
        <f t="shared" ref="AA5:AA19" si="5">B5+H5+M5+R5+W5</f>
        <v>324.31729999999999</v>
      </c>
      <c r="AB5" s="419">
        <f t="shared" ref="AB5:AB19" si="6">C5+I5+N5+S5+X5</f>
        <v>30.306999999999999</v>
      </c>
      <c r="AC5" s="419">
        <f t="shared" ref="AC5:AC19" si="7">E5+J5</f>
        <v>200.46799999999999</v>
      </c>
      <c r="AD5" s="419">
        <f t="shared" ref="AD5:AD19" si="8">D5+O5+T5</f>
        <v>6.3413999999999913</v>
      </c>
      <c r="AE5" s="420">
        <f t="shared" ref="AE5:AE19" si="9">F5+K5+P5+U5+Y5</f>
        <v>256.49200000000002</v>
      </c>
      <c r="AF5" s="388">
        <f t="shared" ref="AF5:AF20" si="10">G5+L5+Q5+V5+Z5</f>
        <v>817.92570000000012</v>
      </c>
    </row>
    <row r="6" spans="1:32">
      <c r="A6" s="250">
        <v>1999</v>
      </c>
      <c r="B6" s="229">
        <v>84.820999999999998</v>
      </c>
      <c r="C6" s="230">
        <v>4.9939999999999998</v>
      </c>
      <c r="D6" s="227">
        <f>86.003-B6</f>
        <v>1.1820000000000022</v>
      </c>
      <c r="E6" s="228">
        <v>157.91</v>
      </c>
      <c r="F6" s="230">
        <f>23.636+C6</f>
        <v>28.63</v>
      </c>
      <c r="G6" s="226">
        <f t="shared" si="0"/>
        <v>277.53699999999998</v>
      </c>
      <c r="H6" s="234">
        <v>195.96299999999999</v>
      </c>
      <c r="I6" s="233">
        <v>9.52</v>
      </c>
      <c r="J6" s="230">
        <v>14.821</v>
      </c>
      <c r="K6" s="227">
        <v>188.536</v>
      </c>
      <c r="L6" s="231">
        <f t="shared" si="1"/>
        <v>408.84000000000003</v>
      </c>
      <c r="M6" s="229">
        <v>13.016</v>
      </c>
      <c r="N6" s="228">
        <v>0.03</v>
      </c>
      <c r="O6" s="230">
        <f>14.019-M6</f>
        <v>1.0030000000000001</v>
      </c>
      <c r="P6" s="227">
        <f>1.246+0.486</f>
        <v>1.732</v>
      </c>
      <c r="Q6" s="226">
        <f t="shared" si="2"/>
        <v>15.780999999999999</v>
      </c>
      <c r="R6" s="234">
        <v>3.3820000000000001</v>
      </c>
      <c r="S6" s="228">
        <v>0.76800000000000002</v>
      </c>
      <c r="T6" s="230">
        <f>7.014-R6</f>
        <v>3.6320000000000001</v>
      </c>
      <c r="U6" s="227">
        <f>0.717+0.223</f>
        <v>0.94</v>
      </c>
      <c r="V6" s="231">
        <f t="shared" si="3"/>
        <v>8.7219999999999995</v>
      </c>
      <c r="W6" s="229">
        <v>110.49</v>
      </c>
      <c r="X6" s="228">
        <v>1.81</v>
      </c>
      <c r="Y6" s="227">
        <v>17.370999999999999</v>
      </c>
      <c r="Z6" s="226">
        <f t="shared" si="4"/>
        <v>129.67099999999999</v>
      </c>
      <c r="AA6" s="418">
        <f t="shared" si="5"/>
        <v>407.67200000000003</v>
      </c>
      <c r="AB6" s="419">
        <f t="shared" si="6"/>
        <v>17.122</v>
      </c>
      <c r="AC6" s="419">
        <f t="shared" si="7"/>
        <v>172.73099999999999</v>
      </c>
      <c r="AD6" s="419">
        <f t="shared" si="8"/>
        <v>5.8170000000000019</v>
      </c>
      <c r="AE6" s="420">
        <f t="shared" si="9"/>
        <v>237.209</v>
      </c>
      <c r="AF6" s="388">
        <f t="shared" si="10"/>
        <v>840.55099999999993</v>
      </c>
    </row>
    <row r="7" spans="1:32">
      <c r="A7" s="250">
        <v>2000</v>
      </c>
      <c r="B7" s="229">
        <v>98.138999999999996</v>
      </c>
      <c r="C7" s="230">
        <v>2.8479999999999999</v>
      </c>
      <c r="D7" s="227">
        <v>0.66174905244597226</v>
      </c>
      <c r="E7" s="228">
        <v>139.62</v>
      </c>
      <c r="F7" s="230">
        <f>30.773+C7</f>
        <v>33.621000000000002</v>
      </c>
      <c r="G7" s="226">
        <f t="shared" si="0"/>
        <v>274.88974905244595</v>
      </c>
      <c r="H7" s="234">
        <v>114.13</v>
      </c>
      <c r="I7" s="233">
        <v>7.22</v>
      </c>
      <c r="J7" s="230">
        <v>23.797000000000001</v>
      </c>
      <c r="K7" s="227">
        <v>148.553</v>
      </c>
      <c r="L7" s="231">
        <f t="shared" si="1"/>
        <v>293.7</v>
      </c>
      <c r="M7" s="229">
        <v>14.331</v>
      </c>
      <c r="N7" s="228">
        <v>0.03</v>
      </c>
      <c r="O7" s="230">
        <f>16.494-M7</f>
        <v>2.1630000000000003</v>
      </c>
      <c r="P7" s="227">
        <f>1.707+0.37</f>
        <v>2.077</v>
      </c>
      <c r="Q7" s="226">
        <f t="shared" si="2"/>
        <v>18.600999999999999</v>
      </c>
      <c r="R7" s="234">
        <v>2.64</v>
      </c>
      <c r="S7" s="228">
        <v>0.52100000000000002</v>
      </c>
      <c r="T7" s="230">
        <f>7.3-R7</f>
        <v>4.66</v>
      </c>
      <c r="U7" s="227">
        <f>0.454+0.099</f>
        <v>0.55300000000000005</v>
      </c>
      <c r="V7" s="231">
        <f t="shared" si="3"/>
        <v>8.3740000000000006</v>
      </c>
      <c r="W7" s="229">
        <v>93.76</v>
      </c>
      <c r="X7" s="228">
        <v>8.8699999999999992</v>
      </c>
      <c r="Y7" s="227">
        <v>20.426000000000002</v>
      </c>
      <c r="Z7" s="226">
        <f t="shared" si="4"/>
        <v>123.05600000000001</v>
      </c>
      <c r="AA7" s="418">
        <f t="shared" si="5"/>
        <v>323</v>
      </c>
      <c r="AB7" s="419">
        <f t="shared" si="6"/>
        <v>19.488999999999997</v>
      </c>
      <c r="AC7" s="419">
        <f t="shared" si="7"/>
        <v>163.417</v>
      </c>
      <c r="AD7" s="419">
        <f t="shared" si="8"/>
        <v>7.4847490524459728</v>
      </c>
      <c r="AE7" s="420">
        <f t="shared" si="9"/>
        <v>205.23000000000002</v>
      </c>
      <c r="AF7" s="388">
        <f t="shared" si="10"/>
        <v>718.62074905244606</v>
      </c>
    </row>
    <row r="8" spans="1:32">
      <c r="A8" s="250">
        <v>2001</v>
      </c>
      <c r="B8" s="229">
        <v>58.805</v>
      </c>
      <c r="C8" s="230">
        <v>5.85</v>
      </c>
      <c r="D8" s="227">
        <f>65.482-B8</f>
        <v>6.6769999999999996</v>
      </c>
      <c r="E8" s="228">
        <v>199.22</v>
      </c>
      <c r="F8" s="230">
        <f>29.649+C8</f>
        <v>35.499000000000002</v>
      </c>
      <c r="G8" s="226">
        <f t="shared" si="0"/>
        <v>306.05100000000004</v>
      </c>
      <c r="H8" s="234">
        <v>194.36</v>
      </c>
      <c r="I8" s="233">
        <v>10.97</v>
      </c>
      <c r="J8" s="230">
        <v>9.0039999999999996</v>
      </c>
      <c r="K8" s="227">
        <v>171.17</v>
      </c>
      <c r="L8" s="231">
        <f t="shared" si="1"/>
        <v>385.50400000000002</v>
      </c>
      <c r="M8" s="229">
        <v>15.906000000000001</v>
      </c>
      <c r="N8" s="228">
        <v>0.05</v>
      </c>
      <c r="O8" s="230">
        <f>(377000+52000)/2.2/1000000</f>
        <v>0.19499999999999998</v>
      </c>
      <c r="P8" s="227">
        <f>1.728+0.447</f>
        <v>2.1749999999999998</v>
      </c>
      <c r="Q8" s="226">
        <f t="shared" si="2"/>
        <v>18.326000000000001</v>
      </c>
      <c r="R8" s="234">
        <v>2.9449999999999998</v>
      </c>
      <c r="S8" s="228">
        <v>0.66600000000000004</v>
      </c>
      <c r="T8" s="230">
        <v>1.4851906545454545</v>
      </c>
      <c r="U8" s="227">
        <f>0.451+0.091</f>
        <v>0.54200000000000004</v>
      </c>
      <c r="V8" s="231">
        <f t="shared" si="3"/>
        <v>5.6381906545454541</v>
      </c>
      <c r="W8" s="229">
        <v>77.59</v>
      </c>
      <c r="X8" s="228">
        <v>7.19</v>
      </c>
      <c r="Y8" s="227">
        <v>22.186</v>
      </c>
      <c r="Z8" s="226">
        <f t="shared" si="4"/>
        <v>106.96600000000001</v>
      </c>
      <c r="AA8" s="418">
        <f t="shared" si="5"/>
        <v>349.60599999999999</v>
      </c>
      <c r="AB8" s="419">
        <f t="shared" si="6"/>
        <v>24.726000000000003</v>
      </c>
      <c r="AC8" s="419">
        <f t="shared" si="7"/>
        <v>208.22399999999999</v>
      </c>
      <c r="AD8" s="419">
        <f t="shared" si="8"/>
        <v>8.3571906545454553</v>
      </c>
      <c r="AE8" s="420">
        <f t="shared" si="9"/>
        <v>231.572</v>
      </c>
      <c r="AF8" s="388">
        <f t="shared" si="10"/>
        <v>822.48519065454559</v>
      </c>
    </row>
    <row r="9" spans="1:32">
      <c r="A9" s="250">
        <v>2002</v>
      </c>
      <c r="B9" s="229">
        <v>63.429000000000002</v>
      </c>
      <c r="C9" s="230">
        <v>12.305</v>
      </c>
      <c r="D9" s="227">
        <f>72.373-B9</f>
        <v>8.9440000000000026</v>
      </c>
      <c r="E9" s="228">
        <v>193.45</v>
      </c>
      <c r="F9" s="230">
        <f>37.998+C9</f>
        <v>50.302999999999997</v>
      </c>
      <c r="G9" s="226">
        <f t="shared" si="0"/>
        <v>328.43099999999998</v>
      </c>
      <c r="H9" s="234">
        <v>136.2739</v>
      </c>
      <c r="I9" s="233">
        <v>8.61</v>
      </c>
      <c r="J9" s="230">
        <v>22.954999999999998</v>
      </c>
      <c r="K9" s="227">
        <v>48.991999999999997</v>
      </c>
      <c r="L9" s="231">
        <f t="shared" si="1"/>
        <v>216.83089999999996</v>
      </c>
      <c r="M9" s="229">
        <v>17.7121</v>
      </c>
      <c r="N9" s="228">
        <v>0.47</v>
      </c>
      <c r="O9" s="230">
        <f>(102000+11000)/2.2/1000000</f>
        <v>5.1363636363636361E-2</v>
      </c>
      <c r="P9" s="227">
        <f>1.707+0.132</f>
        <v>1.839</v>
      </c>
      <c r="Q9" s="226">
        <f t="shared" si="2"/>
        <v>20.072463636363633</v>
      </c>
      <c r="R9" s="234">
        <v>4.1826000000000008</v>
      </c>
      <c r="S9" s="228">
        <v>1.696</v>
      </c>
      <c r="T9" s="230">
        <f>11.505-R9</f>
        <v>7.3224</v>
      </c>
      <c r="U9" s="227">
        <f>0.555+0.549</f>
        <v>1.1040000000000001</v>
      </c>
      <c r="V9" s="231">
        <f t="shared" si="3"/>
        <v>14.305</v>
      </c>
      <c r="W9" s="229">
        <v>61.4</v>
      </c>
      <c r="X9" s="228">
        <v>10.16</v>
      </c>
      <c r="Y9" s="227">
        <v>28.292000000000002</v>
      </c>
      <c r="Z9" s="226">
        <f t="shared" si="4"/>
        <v>99.852000000000004</v>
      </c>
      <c r="AA9" s="418">
        <f t="shared" si="5"/>
        <v>282.99759999999998</v>
      </c>
      <c r="AB9" s="419">
        <f t="shared" si="6"/>
        <v>33.241</v>
      </c>
      <c r="AC9" s="419">
        <f t="shared" si="7"/>
        <v>216.40499999999997</v>
      </c>
      <c r="AD9" s="419">
        <f t="shared" si="8"/>
        <v>16.317763636363637</v>
      </c>
      <c r="AE9" s="420">
        <f t="shared" si="9"/>
        <v>130.52999999999997</v>
      </c>
      <c r="AF9" s="388">
        <f t="shared" si="10"/>
        <v>679.49136363636353</v>
      </c>
    </row>
    <row r="10" spans="1:32">
      <c r="A10" s="250">
        <v>2003</v>
      </c>
      <c r="B10" s="229">
        <v>56.815100000000001</v>
      </c>
      <c r="C10" s="230">
        <v>13.736000000000001</v>
      </c>
      <c r="D10" s="227" t="s">
        <v>18</v>
      </c>
      <c r="E10" s="228">
        <v>257.22000000000003</v>
      </c>
      <c r="F10" s="230">
        <f>32.076+C10</f>
        <v>45.811999999999998</v>
      </c>
      <c r="G10" s="226">
        <f t="shared" si="0"/>
        <v>373.58310000000006</v>
      </c>
      <c r="H10" s="234">
        <v>201.9228</v>
      </c>
      <c r="I10" s="233">
        <v>15.46</v>
      </c>
      <c r="J10" s="230">
        <v>21.559000000000001</v>
      </c>
      <c r="K10" s="227">
        <v>180.21899999999999</v>
      </c>
      <c r="L10" s="231">
        <f t="shared" si="1"/>
        <v>419.16079999999999</v>
      </c>
      <c r="M10" s="229">
        <v>14.069799999999999</v>
      </c>
      <c r="N10" s="228">
        <v>0.8</v>
      </c>
      <c r="O10" s="230">
        <f>(117000+43000)/2.2/1000000</f>
        <v>7.2727272727272724E-2</v>
      </c>
      <c r="P10" s="227">
        <v>1.4339999999999999</v>
      </c>
      <c r="Q10" s="226">
        <f t="shared" si="2"/>
        <v>16.376527272727273</v>
      </c>
      <c r="R10" s="234">
        <v>4.5631000000000004</v>
      </c>
      <c r="S10" s="228">
        <v>2.2040000000000002</v>
      </c>
      <c r="T10" s="230">
        <f>12.567-R10</f>
        <v>8.0038999999999998</v>
      </c>
      <c r="U10" s="227">
        <v>0.26300000000000001</v>
      </c>
      <c r="V10" s="231">
        <f t="shared" si="3"/>
        <v>15.034000000000001</v>
      </c>
      <c r="W10" s="229">
        <v>85.14</v>
      </c>
      <c r="X10" s="228">
        <v>6.4</v>
      </c>
      <c r="Y10" s="227">
        <v>23.398000000000003</v>
      </c>
      <c r="Z10" s="226">
        <f t="shared" si="4"/>
        <v>114.93800000000002</v>
      </c>
      <c r="AA10" s="418">
        <f t="shared" si="5"/>
        <v>362.51079999999996</v>
      </c>
      <c r="AB10" s="419">
        <f t="shared" si="6"/>
        <v>38.6</v>
      </c>
      <c r="AC10" s="419">
        <f t="shared" si="7"/>
        <v>278.77900000000005</v>
      </c>
      <c r="AD10" s="419">
        <f>O10+T10</f>
        <v>8.0766272727272721</v>
      </c>
      <c r="AE10" s="420">
        <f t="shared" si="9"/>
        <v>251.126</v>
      </c>
      <c r="AF10" s="388">
        <f t="shared" si="10"/>
        <v>939.09242727272726</v>
      </c>
    </row>
    <row r="11" spans="1:32">
      <c r="A11" s="250">
        <v>2004</v>
      </c>
      <c r="B11" s="229">
        <v>58.8962</v>
      </c>
      <c r="C11" s="230">
        <v>14.302</v>
      </c>
      <c r="D11" s="227" t="s">
        <v>18</v>
      </c>
      <c r="E11" s="228">
        <v>240.11</v>
      </c>
      <c r="F11" s="230">
        <f>30.158+C11</f>
        <v>44.46</v>
      </c>
      <c r="G11" s="226">
        <f t="shared" si="0"/>
        <v>357.76819999999998</v>
      </c>
      <c r="H11" s="234">
        <v>164.38290000000001</v>
      </c>
      <c r="I11" s="233">
        <v>3.58</v>
      </c>
      <c r="J11" s="230">
        <v>12.086</v>
      </c>
      <c r="K11" s="227">
        <v>113.54</v>
      </c>
      <c r="L11" s="231">
        <f t="shared" si="1"/>
        <v>293.58890000000002</v>
      </c>
      <c r="M11" s="229">
        <v>18.017700000000001</v>
      </c>
      <c r="N11" s="228">
        <v>1.1599999999999999</v>
      </c>
      <c r="O11" s="230">
        <f>(476000+70000)/2.2/1000000</f>
        <v>0.24818181818181814</v>
      </c>
      <c r="P11" s="227">
        <v>1.5960000000000001</v>
      </c>
      <c r="Q11" s="226">
        <f t="shared" si="2"/>
        <v>21.021881818181821</v>
      </c>
      <c r="R11" s="229">
        <v>5.774</v>
      </c>
      <c r="S11" s="228">
        <v>2.4630000000000001</v>
      </c>
      <c r="T11" s="230">
        <f>13.226-R11</f>
        <v>7.4520000000000008</v>
      </c>
      <c r="U11" s="227">
        <v>0.36899999999999999</v>
      </c>
      <c r="V11" s="226">
        <f t="shared" si="3"/>
        <v>16.058</v>
      </c>
      <c r="W11" s="229">
        <v>117.44</v>
      </c>
      <c r="X11" s="228">
        <v>4.37</v>
      </c>
      <c r="Y11" s="227">
        <v>21.834999999999997</v>
      </c>
      <c r="Z11" s="226">
        <f t="shared" si="4"/>
        <v>143.64500000000001</v>
      </c>
      <c r="AA11" s="418">
        <f t="shared" si="5"/>
        <v>364.51080000000002</v>
      </c>
      <c r="AB11" s="419">
        <f t="shared" si="6"/>
        <v>25.875</v>
      </c>
      <c r="AC11" s="419">
        <f t="shared" si="7"/>
        <v>252.19600000000003</v>
      </c>
      <c r="AD11" s="419">
        <f t="shared" ref="AD11:AD12" si="11">O11+T11</f>
        <v>7.7001818181818189</v>
      </c>
      <c r="AE11" s="420">
        <f t="shared" si="9"/>
        <v>181.8</v>
      </c>
      <c r="AF11" s="388">
        <f t="shared" si="10"/>
        <v>832.0819818181817</v>
      </c>
    </row>
    <row r="12" spans="1:32">
      <c r="A12" s="250">
        <v>2005</v>
      </c>
      <c r="B12" s="229">
        <v>43.534999999999997</v>
      </c>
      <c r="C12" s="230">
        <v>10.523999999999999</v>
      </c>
      <c r="D12" s="227" t="s">
        <v>18</v>
      </c>
      <c r="E12" s="228">
        <v>221.92</v>
      </c>
      <c r="F12" s="230">
        <f>32.937+C12</f>
        <v>43.460999999999999</v>
      </c>
      <c r="G12" s="226">
        <f t="shared" si="0"/>
        <v>319.44</v>
      </c>
      <c r="H12" s="234">
        <v>252.24600000000001</v>
      </c>
      <c r="I12" s="233">
        <v>12.59</v>
      </c>
      <c r="J12" s="230">
        <v>15.882</v>
      </c>
      <c r="K12" s="227">
        <v>205.83600000000001</v>
      </c>
      <c r="L12" s="231">
        <f t="shared" si="1"/>
        <v>486.55400000000003</v>
      </c>
      <c r="M12" s="229">
        <v>14.382</v>
      </c>
      <c r="N12" s="228">
        <v>1.1299999999999999</v>
      </c>
      <c r="O12" s="230">
        <f>(160000+20000)/2.2/1000000</f>
        <v>8.1818181818181804E-2</v>
      </c>
      <c r="P12" s="227">
        <v>0.94799999999999995</v>
      </c>
      <c r="Q12" s="226">
        <f t="shared" si="2"/>
        <v>16.541818181818183</v>
      </c>
      <c r="R12" s="229">
        <v>4.8</v>
      </c>
      <c r="S12" s="228">
        <v>2.008</v>
      </c>
      <c r="T12" s="230">
        <f>10.834-R12</f>
        <v>6.0339999999999998</v>
      </c>
      <c r="U12" s="227">
        <v>0.63900000000000001</v>
      </c>
      <c r="V12" s="226">
        <f t="shared" si="3"/>
        <v>13.480999999999998</v>
      </c>
      <c r="W12" s="229">
        <v>121.06</v>
      </c>
      <c r="X12" s="228">
        <v>0.93</v>
      </c>
      <c r="Y12" s="227">
        <v>26.722000000000001</v>
      </c>
      <c r="Z12" s="226">
        <f t="shared" si="4"/>
        <v>148.71200000000002</v>
      </c>
      <c r="AA12" s="418">
        <f t="shared" si="5"/>
        <v>436.02300000000002</v>
      </c>
      <c r="AB12" s="419">
        <f t="shared" si="6"/>
        <v>27.181999999999995</v>
      </c>
      <c r="AC12" s="419">
        <f t="shared" si="7"/>
        <v>237.80199999999999</v>
      </c>
      <c r="AD12" s="419">
        <f t="shared" si="11"/>
        <v>6.1158181818181818</v>
      </c>
      <c r="AE12" s="420">
        <f t="shared" si="9"/>
        <v>277.60600000000005</v>
      </c>
      <c r="AF12" s="388">
        <f t="shared" si="10"/>
        <v>984.72881818181816</v>
      </c>
    </row>
    <row r="13" spans="1:32">
      <c r="A13" s="250">
        <v>2006</v>
      </c>
      <c r="B13" s="229">
        <v>82.52</v>
      </c>
      <c r="C13" s="230">
        <v>9.3049999999999997</v>
      </c>
      <c r="D13" s="227">
        <v>3.3412576960745883</v>
      </c>
      <c r="E13" s="228">
        <v>209.85</v>
      </c>
      <c r="F13" s="230">
        <f>48.969+D13+C13</f>
        <v>61.615257696074586</v>
      </c>
      <c r="G13" s="226">
        <f t="shared" si="0"/>
        <v>366.6315153921492</v>
      </c>
      <c r="H13" s="234">
        <v>122.298</v>
      </c>
      <c r="I13" s="233">
        <v>1.47</v>
      </c>
      <c r="J13" s="230">
        <v>10.791</v>
      </c>
      <c r="K13" s="228">
        <v>199.58</v>
      </c>
      <c r="L13" s="231">
        <f t="shared" si="1"/>
        <v>334.13900000000001</v>
      </c>
      <c r="M13" s="229">
        <v>14.545</v>
      </c>
      <c r="N13" s="228">
        <v>0.38</v>
      </c>
      <c r="O13" s="230">
        <f>(203000+13000)/2.2/1000000</f>
        <v>9.8181818181818176E-2</v>
      </c>
      <c r="P13" s="228">
        <v>1.3</v>
      </c>
      <c r="Q13" s="226">
        <f t="shared" si="2"/>
        <v>16.323181818181819</v>
      </c>
      <c r="R13" s="229">
        <v>4.5110000000000001</v>
      </c>
      <c r="S13" s="228">
        <v>2.17</v>
      </c>
      <c r="T13" s="230">
        <f>7.4-R13</f>
        <v>2.8890000000000002</v>
      </c>
      <c r="U13" s="228">
        <v>0.748</v>
      </c>
      <c r="V13" s="226">
        <f t="shared" si="3"/>
        <v>10.318</v>
      </c>
      <c r="W13" s="229">
        <v>107.83</v>
      </c>
      <c r="X13" s="228">
        <v>12.39</v>
      </c>
      <c r="Y13" s="228">
        <v>31.730999999999998</v>
      </c>
      <c r="Z13" s="226">
        <f t="shared" si="4"/>
        <v>151.95099999999999</v>
      </c>
      <c r="AA13" s="418">
        <f t="shared" si="5"/>
        <v>331.70399999999995</v>
      </c>
      <c r="AB13" s="419">
        <f t="shared" si="6"/>
        <v>25.715000000000003</v>
      </c>
      <c r="AC13" s="419">
        <f t="shared" si="7"/>
        <v>220.64099999999999</v>
      </c>
      <c r="AD13" s="419">
        <f t="shared" si="8"/>
        <v>6.3284395142564067</v>
      </c>
      <c r="AE13" s="420">
        <f t="shared" si="9"/>
        <v>294.97425769607457</v>
      </c>
      <c r="AF13" s="388">
        <f t="shared" si="10"/>
        <v>879.36269721033113</v>
      </c>
    </row>
    <row r="14" spans="1:32">
      <c r="A14" s="250">
        <v>2007</v>
      </c>
      <c r="B14" s="229">
        <v>59.209000000000003</v>
      </c>
      <c r="C14" s="230">
        <v>5.3159999999999998</v>
      </c>
      <c r="D14" s="227">
        <v>2.8528086806164081</v>
      </c>
      <c r="E14" s="228">
        <v>197.96</v>
      </c>
      <c r="F14" s="230">
        <f>54.272+D14+C14</f>
        <v>62.440808680616406</v>
      </c>
      <c r="G14" s="226">
        <f t="shared" si="0"/>
        <v>327.77861736123282</v>
      </c>
      <c r="H14" s="234">
        <v>228.99100000000001</v>
      </c>
      <c r="I14" s="233">
        <v>12.55</v>
      </c>
      <c r="J14" s="230">
        <v>23.033999999999999</v>
      </c>
      <c r="K14" s="228">
        <v>259.82900000000001</v>
      </c>
      <c r="L14" s="231">
        <f t="shared" si="1"/>
        <v>524.404</v>
      </c>
      <c r="M14" s="229">
        <v>11.13</v>
      </c>
      <c r="N14" s="228">
        <v>0.73</v>
      </c>
      <c r="O14" s="230">
        <f>(252000+101000)/2.2/1000000</f>
        <v>0.16045454545454543</v>
      </c>
      <c r="P14" s="228">
        <v>3.71</v>
      </c>
      <c r="Q14" s="226">
        <f t="shared" si="2"/>
        <v>15.730454545454545</v>
      </c>
      <c r="R14" s="229">
        <v>3.9159999999999999</v>
      </c>
      <c r="S14" s="228">
        <v>1.52</v>
      </c>
      <c r="T14" s="230">
        <f>6.797-R14</f>
        <v>2.8809999999999998</v>
      </c>
      <c r="U14" s="228">
        <v>0.80100000000000005</v>
      </c>
      <c r="V14" s="226">
        <f t="shared" si="3"/>
        <v>9.1180000000000003</v>
      </c>
      <c r="W14" s="229">
        <v>126.8</v>
      </c>
      <c r="X14" s="228">
        <v>1.81</v>
      </c>
      <c r="Y14" s="228">
        <v>37.343999999999994</v>
      </c>
      <c r="Z14" s="226">
        <f t="shared" si="4"/>
        <v>165.95399999999998</v>
      </c>
      <c r="AA14" s="418">
        <f t="shared" si="5"/>
        <v>430.04600000000005</v>
      </c>
      <c r="AB14" s="419">
        <f t="shared" si="6"/>
        <v>21.925999999999998</v>
      </c>
      <c r="AC14" s="419">
        <f t="shared" si="7"/>
        <v>220.994</v>
      </c>
      <c r="AD14" s="419">
        <f t="shared" si="8"/>
        <v>5.8942632260709535</v>
      </c>
      <c r="AE14" s="420">
        <f t="shared" si="9"/>
        <v>364.12480868061635</v>
      </c>
      <c r="AF14" s="388">
        <f t="shared" si="10"/>
        <v>1042.9850719066874</v>
      </c>
    </row>
    <row r="15" spans="1:32">
      <c r="A15" s="250">
        <v>2008</v>
      </c>
      <c r="B15" s="229">
        <v>67.051000000000002</v>
      </c>
      <c r="C15" s="230">
        <v>2.2530000000000001</v>
      </c>
      <c r="D15" s="227">
        <v>1.8803634528188926</v>
      </c>
      <c r="E15" s="228">
        <v>161.03</v>
      </c>
      <c r="F15" s="230">
        <f>63.703+D15+C15</f>
        <v>67.836363452818901</v>
      </c>
      <c r="G15" s="226">
        <f t="shared" si="0"/>
        <v>300.05072690563782</v>
      </c>
      <c r="H15" s="234">
        <v>132.95699999999999</v>
      </c>
      <c r="I15" s="233">
        <v>0.43</v>
      </c>
      <c r="J15" s="230">
        <v>11.321999999999999</v>
      </c>
      <c r="K15" s="227">
        <v>165.02340000000001</v>
      </c>
      <c r="L15" s="231">
        <f t="shared" si="1"/>
        <v>309.73239999999998</v>
      </c>
      <c r="M15" s="229">
        <v>16.052</v>
      </c>
      <c r="N15" s="228">
        <v>0.2</v>
      </c>
      <c r="O15" s="230">
        <f>(92000+4000)/2.2/1000000</f>
        <v>4.3636363636363633E-2</v>
      </c>
      <c r="P15" s="227">
        <v>3.653</v>
      </c>
      <c r="Q15" s="226">
        <f t="shared" si="2"/>
        <v>19.948636363636361</v>
      </c>
      <c r="R15" s="229">
        <v>2.4079999999999999</v>
      </c>
      <c r="S15" s="228">
        <v>1.1120000000000001</v>
      </c>
      <c r="T15" s="230">
        <f>4.619-R15</f>
        <v>2.2109999999999999</v>
      </c>
      <c r="U15" s="227">
        <v>0.93</v>
      </c>
      <c r="V15" s="226">
        <f t="shared" si="3"/>
        <v>6.6609999999999996</v>
      </c>
      <c r="W15" s="229">
        <v>102.46</v>
      </c>
      <c r="X15" s="228">
        <v>2.06</v>
      </c>
      <c r="Y15" s="227">
        <v>36.652999999999999</v>
      </c>
      <c r="Z15" s="226">
        <f t="shared" si="4"/>
        <v>141.173</v>
      </c>
      <c r="AA15" s="418">
        <f t="shared" si="5"/>
        <v>320.92799999999994</v>
      </c>
      <c r="AB15" s="419">
        <f t="shared" si="6"/>
        <v>6.0550000000000006</v>
      </c>
      <c r="AC15" s="419">
        <f t="shared" si="7"/>
        <v>172.352</v>
      </c>
      <c r="AD15" s="419">
        <f t="shared" si="8"/>
        <v>4.1349998164552559</v>
      </c>
      <c r="AE15" s="420">
        <f t="shared" si="9"/>
        <v>274.09576345281891</v>
      </c>
      <c r="AF15" s="388">
        <f t="shared" si="10"/>
        <v>777.56576326927416</v>
      </c>
    </row>
    <row r="16" spans="1:32">
      <c r="A16" s="250">
        <v>2009</v>
      </c>
      <c r="B16" s="219">
        <v>59.405999999999999</v>
      </c>
      <c r="C16" s="220">
        <v>3.7010000000000001</v>
      </c>
      <c r="D16" s="217">
        <v>1.183255574668328</v>
      </c>
      <c r="E16" s="220">
        <v>199.43</v>
      </c>
      <c r="F16" s="220">
        <v>93.793000000000006</v>
      </c>
      <c r="G16" s="216">
        <f t="shared" si="0"/>
        <v>357.51325557466834</v>
      </c>
      <c r="H16" s="224">
        <v>140.21199999999999</v>
      </c>
      <c r="I16" s="225">
        <v>18.809999999999999</v>
      </c>
      <c r="J16" s="220">
        <v>16.439</v>
      </c>
      <c r="K16" s="217">
        <v>424.97800000000001</v>
      </c>
      <c r="L16" s="221">
        <f t="shared" si="1"/>
        <v>600.43899999999996</v>
      </c>
      <c r="M16" s="219">
        <v>12.500999999999999</v>
      </c>
      <c r="N16" s="218">
        <v>0.63</v>
      </c>
      <c r="O16" s="220">
        <f>(535000+131000)/2.2/1000000</f>
        <v>0.30272727272727273</v>
      </c>
      <c r="P16" s="217">
        <v>3.6949999999999998</v>
      </c>
      <c r="Q16" s="216">
        <f t="shared" si="2"/>
        <v>17.128727272727271</v>
      </c>
      <c r="R16" s="219">
        <v>2.34</v>
      </c>
      <c r="S16" s="218">
        <v>1.097</v>
      </c>
      <c r="T16" s="220">
        <f>4.546-R16</f>
        <v>2.2060000000000004</v>
      </c>
      <c r="U16" s="217">
        <v>0.69499999999999995</v>
      </c>
      <c r="V16" s="216">
        <f t="shared" si="3"/>
        <v>6.338000000000001</v>
      </c>
      <c r="W16" s="219">
        <v>117.27</v>
      </c>
      <c r="X16" s="218">
        <v>0.56000000000000005</v>
      </c>
      <c r="Y16" s="217">
        <v>28.396000000000001</v>
      </c>
      <c r="Z16" s="216">
        <f t="shared" si="4"/>
        <v>146.226</v>
      </c>
      <c r="AA16" s="418">
        <f t="shared" si="5"/>
        <v>331.72899999999998</v>
      </c>
      <c r="AB16" s="419">
        <f t="shared" si="6"/>
        <v>24.797999999999998</v>
      </c>
      <c r="AC16" s="419">
        <f t="shared" si="7"/>
        <v>215.869</v>
      </c>
      <c r="AD16" s="419">
        <f t="shared" si="8"/>
        <v>3.6919828473956011</v>
      </c>
      <c r="AE16" s="420">
        <f t="shared" si="9"/>
        <v>551.55700000000002</v>
      </c>
      <c r="AF16" s="388">
        <f t="shared" si="10"/>
        <v>1127.6449828473956</v>
      </c>
    </row>
    <row r="17" spans="1:33">
      <c r="A17" s="250">
        <v>2010</v>
      </c>
      <c r="B17" s="219">
        <v>63.728000000000002</v>
      </c>
      <c r="C17" s="220">
        <f>(541678/1000000)</f>
        <v>0.54167799999999999</v>
      </c>
      <c r="D17" s="217">
        <v>0.80372918181818187</v>
      </c>
      <c r="E17" s="220">
        <f>SUM(B17:D17)</f>
        <v>65.073407181818183</v>
      </c>
      <c r="F17" s="220">
        <v>88.543000000000006</v>
      </c>
      <c r="G17" s="216">
        <f t="shared" si="0"/>
        <v>218.68981436363637</v>
      </c>
      <c r="H17" s="224">
        <v>182.47200000000001</v>
      </c>
      <c r="I17" s="222">
        <f>1272724/1000000</f>
        <v>1.272724</v>
      </c>
      <c r="J17" s="220">
        <v>12.863</v>
      </c>
      <c r="K17" s="217">
        <v>201.446</v>
      </c>
      <c r="L17" s="221">
        <f t="shared" si="1"/>
        <v>398.05372399999999</v>
      </c>
      <c r="M17" s="219">
        <v>13.772</v>
      </c>
      <c r="N17" s="218">
        <v>0.37</v>
      </c>
      <c r="O17" s="220">
        <f>(95000+7000)/2.2/1000000</f>
        <v>4.6363636363636357E-2</v>
      </c>
      <c r="P17" s="217">
        <v>4.8949999999999996</v>
      </c>
      <c r="Q17" s="216">
        <f t="shared" si="2"/>
        <v>19.083363636363636</v>
      </c>
      <c r="R17" s="219">
        <v>2.452</v>
      </c>
      <c r="S17" s="218">
        <v>1.36261254</v>
      </c>
      <c r="T17" s="220">
        <f>4.908-R17</f>
        <v>2.4560000000000004</v>
      </c>
      <c r="U17" s="217">
        <v>0.754</v>
      </c>
      <c r="V17" s="216">
        <f t="shared" si="3"/>
        <v>7.0246125399999997</v>
      </c>
      <c r="W17" s="219">
        <v>110.06699999999999</v>
      </c>
      <c r="X17" s="218">
        <v>19.994174999999998</v>
      </c>
      <c r="Y17" s="217">
        <v>33.6</v>
      </c>
      <c r="Z17" s="216">
        <f t="shared" si="4"/>
        <v>163.66117499999999</v>
      </c>
      <c r="AA17" s="418">
        <f t="shared" si="5"/>
        <v>372.49100000000004</v>
      </c>
      <c r="AB17" s="419">
        <f t="shared" si="6"/>
        <v>23.541189539999998</v>
      </c>
      <c r="AC17" s="419">
        <f t="shared" si="7"/>
        <v>77.936407181818183</v>
      </c>
      <c r="AD17" s="419">
        <f t="shared" si="8"/>
        <v>3.3060928181818188</v>
      </c>
      <c r="AE17" s="420">
        <f t="shared" si="9"/>
        <v>329.23800000000006</v>
      </c>
      <c r="AF17" s="388">
        <f t="shared" si="10"/>
        <v>806.51268954</v>
      </c>
    </row>
    <row r="18" spans="1:33">
      <c r="A18" s="250">
        <v>2011</v>
      </c>
      <c r="B18" s="219">
        <v>56.957999999999998</v>
      </c>
      <c r="C18" s="220">
        <v>4.76</v>
      </c>
      <c r="D18" s="385">
        <v>3.84</v>
      </c>
      <c r="E18" s="220">
        <v>131.35</v>
      </c>
      <c r="F18" s="220">
        <v>78.069999999999993</v>
      </c>
      <c r="G18" s="216">
        <f t="shared" si="0"/>
        <v>274.97799999999995</v>
      </c>
      <c r="H18" s="219">
        <v>179.34</v>
      </c>
      <c r="I18" s="222">
        <f>8940252/1000000</f>
        <v>8.9402519999999992</v>
      </c>
      <c r="J18" s="220">
        <v>9.2680000000000007</v>
      </c>
      <c r="K18" s="217">
        <v>386.76</v>
      </c>
      <c r="L18" s="221">
        <f t="shared" si="1"/>
        <v>584.30825200000004</v>
      </c>
      <c r="M18" s="219">
        <v>9.85</v>
      </c>
      <c r="N18" s="218">
        <v>0.86</v>
      </c>
      <c r="O18" s="220">
        <v>1.94</v>
      </c>
      <c r="P18" s="217">
        <v>4.7640000000000002</v>
      </c>
      <c r="Q18" s="216">
        <f t="shared" si="2"/>
        <v>17.413999999999998</v>
      </c>
      <c r="R18" s="219">
        <v>2.8410000000000002</v>
      </c>
      <c r="S18" s="218">
        <v>1.7776288600000001</v>
      </c>
      <c r="T18" s="217">
        <v>3.89</v>
      </c>
      <c r="U18" s="217">
        <v>0.752</v>
      </c>
      <c r="V18" s="216">
        <f t="shared" si="3"/>
        <v>9.2606288600000006</v>
      </c>
      <c r="W18" s="219">
        <v>112.85</v>
      </c>
      <c r="X18" s="218">
        <v>2.8281589999999999</v>
      </c>
      <c r="Y18" s="217">
        <v>42.369</v>
      </c>
      <c r="Z18" s="216">
        <f t="shared" si="4"/>
        <v>158.04715899999999</v>
      </c>
      <c r="AA18" s="418">
        <f t="shared" si="5"/>
        <v>361.839</v>
      </c>
      <c r="AB18" s="419">
        <f t="shared" si="6"/>
        <v>19.166039859999998</v>
      </c>
      <c r="AC18" s="419">
        <f t="shared" si="7"/>
        <v>140.61799999999999</v>
      </c>
      <c r="AD18" s="419">
        <f t="shared" si="8"/>
        <v>9.67</v>
      </c>
      <c r="AE18" s="420">
        <f t="shared" si="9"/>
        <v>512.71500000000003</v>
      </c>
      <c r="AF18" s="388">
        <f t="shared" si="10"/>
        <v>1044.0080398600001</v>
      </c>
      <c r="AG18" s="413"/>
    </row>
    <row r="19" spans="1:33">
      <c r="A19" s="255">
        <v>2012</v>
      </c>
      <c r="B19" s="267">
        <v>69.3</v>
      </c>
      <c r="C19" s="268">
        <v>4.05</v>
      </c>
      <c r="D19" s="269">
        <v>4.75</v>
      </c>
      <c r="E19" s="416">
        <v>122.46599999999999</v>
      </c>
      <c r="F19" s="269">
        <v>97.9</v>
      </c>
      <c r="G19" s="216">
        <f t="shared" ref="G19:G20" si="12">SUM(B19:F19)</f>
        <v>298.46600000000001</v>
      </c>
      <c r="H19" s="267">
        <v>110.6</v>
      </c>
      <c r="I19" s="414">
        <v>1.2310000000000001</v>
      </c>
      <c r="J19" s="416">
        <v>4.9119999999999999</v>
      </c>
      <c r="K19" s="416">
        <v>292.87799999999999</v>
      </c>
      <c r="L19" s="221">
        <f t="shared" ref="L19:L20" si="13">SUM(H19:K19)</f>
        <v>409.62099999999998</v>
      </c>
      <c r="M19" s="267">
        <v>8.76</v>
      </c>
      <c r="N19" s="268">
        <v>0.69</v>
      </c>
      <c r="O19" s="416">
        <v>1.6930000000000001</v>
      </c>
      <c r="P19" s="269">
        <v>4.3499999999999996</v>
      </c>
      <c r="Q19" s="216">
        <f t="shared" ref="Q19:Q20" si="14">SUM(M19:P19)</f>
        <v>15.492999999999999</v>
      </c>
      <c r="R19" s="267">
        <v>2</v>
      </c>
      <c r="S19" s="268">
        <v>1.02</v>
      </c>
      <c r="T19" s="380">
        <v>4.2439999999999998</v>
      </c>
      <c r="U19" s="268">
        <v>0.53</v>
      </c>
      <c r="V19" s="216">
        <f t="shared" ref="V19:V20" si="15">SUM(R19:U19)</f>
        <v>7.7939999999999996</v>
      </c>
      <c r="W19" s="267">
        <v>96.1</v>
      </c>
      <c r="X19" s="268">
        <v>2.0699999999999998</v>
      </c>
      <c r="Y19" s="270">
        <v>44.05</v>
      </c>
      <c r="Z19" s="216">
        <f t="shared" si="4"/>
        <v>142.21999999999997</v>
      </c>
      <c r="AA19" s="418">
        <f t="shared" si="5"/>
        <v>286.76</v>
      </c>
      <c r="AB19" s="419">
        <f t="shared" si="6"/>
        <v>9.0609999999999999</v>
      </c>
      <c r="AC19" s="419">
        <f t="shared" si="7"/>
        <v>127.378</v>
      </c>
      <c r="AD19" s="419">
        <f t="shared" si="8"/>
        <v>10.686999999999999</v>
      </c>
      <c r="AE19" s="420">
        <f t="shared" si="9"/>
        <v>439.70800000000003</v>
      </c>
      <c r="AF19" s="388">
        <f t="shared" si="10"/>
        <v>873.59400000000005</v>
      </c>
      <c r="AG19" s="413"/>
    </row>
    <row r="20" spans="1:33" ht="14" thickBot="1">
      <c r="A20" s="273">
        <v>2013</v>
      </c>
      <c r="B20" s="215">
        <v>72.94</v>
      </c>
      <c r="C20" s="381">
        <v>6.415</v>
      </c>
      <c r="D20" s="214">
        <v>6.7</v>
      </c>
      <c r="E20" s="381">
        <v>155.84</v>
      </c>
      <c r="F20" s="214">
        <v>101.395</v>
      </c>
      <c r="G20" s="271">
        <f t="shared" si="12"/>
        <v>343.29</v>
      </c>
      <c r="H20" s="215">
        <v>310.24099999999999</v>
      </c>
      <c r="I20" s="381">
        <v>18.565000000000001</v>
      </c>
      <c r="J20" s="381">
        <v>7.31</v>
      </c>
      <c r="K20" s="381">
        <v>241.42099999999999</v>
      </c>
      <c r="L20" s="272">
        <f t="shared" si="13"/>
        <v>577.53700000000003</v>
      </c>
      <c r="M20" s="415">
        <v>16.829000000000001</v>
      </c>
      <c r="N20" s="214">
        <v>1.5149999999999999</v>
      </c>
      <c r="O20" s="381">
        <v>1.593</v>
      </c>
      <c r="P20" s="214">
        <v>9.8529999999999998</v>
      </c>
      <c r="Q20" s="271">
        <f t="shared" si="14"/>
        <v>29.79</v>
      </c>
      <c r="R20" s="415">
        <v>1.8839999999999999</v>
      </c>
      <c r="S20" s="381">
        <v>0.66600000000000004</v>
      </c>
      <c r="T20" s="381">
        <v>6.3029999999999999</v>
      </c>
      <c r="U20" s="381">
        <v>0.51300000000000001</v>
      </c>
      <c r="V20" s="271">
        <f t="shared" si="15"/>
        <v>9.3659999999999997</v>
      </c>
      <c r="W20" s="415">
        <v>81.533000000000001</v>
      </c>
      <c r="X20" s="214">
        <v>0.621</v>
      </c>
      <c r="Y20" s="214">
        <v>50.94</v>
      </c>
      <c r="Z20" s="271">
        <f t="shared" si="4"/>
        <v>133.09399999999999</v>
      </c>
      <c r="AA20" s="421">
        <f>B20+H20+M20+R20+W20</f>
        <v>483.42700000000002</v>
      </c>
      <c r="AB20" s="422">
        <f>C20+I20+N20+S20+X20</f>
        <v>27.782</v>
      </c>
      <c r="AC20" s="422">
        <f>E20+J20</f>
        <v>163.15</v>
      </c>
      <c r="AD20" s="422">
        <f>D20+O20+T20</f>
        <v>14.596</v>
      </c>
      <c r="AE20" s="423">
        <f>F20+K20+P20+U20+Y20</f>
        <v>404.12199999999996</v>
      </c>
      <c r="AF20" s="389">
        <f t="shared" si="10"/>
        <v>1093.077</v>
      </c>
    </row>
    <row r="37" spans="1:1">
      <c r="A37" s="209" t="s">
        <v>214</v>
      </c>
    </row>
    <row r="38" spans="1:1">
      <c r="A38" s="207" t="s">
        <v>197</v>
      </c>
    </row>
    <row r="39" spans="1:1">
      <c r="A39" s="207" t="s">
        <v>213</v>
      </c>
    </row>
    <row r="40" spans="1:1">
      <c r="A40" s="207" t="s">
        <v>212</v>
      </c>
    </row>
    <row r="41" spans="1:1">
      <c r="A41" s="209" t="s">
        <v>211</v>
      </c>
    </row>
    <row r="42" spans="1:1">
      <c r="A42" s="213" t="s">
        <v>210</v>
      </c>
    </row>
    <row r="43" spans="1:1">
      <c r="A43" s="207" t="s">
        <v>209</v>
      </c>
    </row>
    <row r="44" spans="1:1">
      <c r="A44" s="209" t="s">
        <v>208</v>
      </c>
    </row>
    <row r="45" spans="1:1">
      <c r="A45" s="213" t="s">
        <v>242</v>
      </c>
    </row>
    <row r="46" spans="1:1">
      <c r="A46" s="211" t="s">
        <v>207</v>
      </c>
    </row>
    <row r="47" spans="1:1">
      <c r="A47" s="212" t="s">
        <v>206</v>
      </c>
    </row>
    <row r="48" spans="1:1">
      <c r="A48" s="212" t="s">
        <v>205</v>
      </c>
    </row>
    <row r="49" spans="1:1">
      <c r="A49" s="211" t="s">
        <v>204</v>
      </c>
    </row>
    <row r="50" spans="1:1">
      <c r="A50" s="207" t="s">
        <v>244</v>
      </c>
    </row>
    <row r="51" spans="1:1">
      <c r="A51" s="207" t="s">
        <v>243</v>
      </c>
    </row>
    <row r="52" spans="1:1">
      <c r="A52" s="209" t="s">
        <v>203</v>
      </c>
    </row>
    <row r="53" spans="1:1">
      <c r="A53" s="207" t="s">
        <v>197</v>
      </c>
    </row>
    <row r="54" spans="1:1">
      <c r="A54" s="210" t="s">
        <v>202</v>
      </c>
    </row>
    <row r="55" spans="1:1">
      <c r="A55" s="210" t="s">
        <v>201</v>
      </c>
    </row>
    <row r="56" spans="1:1">
      <c r="A56" s="207" t="s">
        <v>200</v>
      </c>
    </row>
    <row r="57" spans="1:1">
      <c r="A57" s="207" t="s">
        <v>199</v>
      </c>
    </row>
    <row r="58" spans="1:1">
      <c r="A58" s="207" t="s">
        <v>413</v>
      </c>
    </row>
    <row r="59" spans="1:1">
      <c r="A59" s="209" t="s">
        <v>198</v>
      </c>
    </row>
    <row r="60" spans="1:1">
      <c r="A60" s="208" t="s">
        <v>197</v>
      </c>
    </row>
    <row r="61" spans="1:1">
      <c r="A61" s="208" t="s">
        <v>412</v>
      </c>
    </row>
    <row r="62" spans="1:1">
      <c r="A62" s="207" t="s">
        <v>413</v>
      </c>
    </row>
    <row r="63" spans="1:1">
      <c r="A63" s="209" t="s">
        <v>248</v>
      </c>
    </row>
    <row r="64" spans="1:1">
      <c r="A64" s="242" t="s">
        <v>247</v>
      </c>
    </row>
  </sheetData>
  <mergeCells count="6">
    <mergeCell ref="AA2:AE2"/>
    <mergeCell ref="B2:G2"/>
    <mergeCell ref="H2:L2"/>
    <mergeCell ref="M2:Q2"/>
    <mergeCell ref="R2:V2"/>
    <mergeCell ref="W2:Z2"/>
  </mergeCells>
  <hyperlinks>
    <hyperlink ref="A45" r:id="rId1" display="All data from NPAFC Statistical Yearbook (http://www.npafc.org/new/pub_statistics.html) except:"/>
    <hyperlink ref="A42" r:id="rId2" display="All data from NPAFC Statistical Yearbook (http://www.npafc.org/new/pub_statistics.html) except:"/>
  </hyperlinks>
  <pageMargins left="0.7" right="0.7" top="0.75" bottom="0.75" header="0.3" footer="0.3"/>
  <pageSetup orientation="portrait" horizontalDpi="4294967294" verticalDpi="4294967294"/>
  <drawing r:id="rId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workbookViewId="0"/>
  </sheetViews>
  <sheetFormatPr baseColWidth="10" defaultColWidth="8.83203125" defaultRowHeight="14" x14ac:dyDescent="0"/>
  <cols>
    <col min="1" max="1" width="9" style="239" bestFit="1" customWidth="1"/>
    <col min="2" max="2" width="9.1640625" style="239" bestFit="1" customWidth="1"/>
    <col min="3" max="3" width="13.33203125" style="239" customWidth="1"/>
    <col min="4" max="4" width="8.1640625" style="239" customWidth="1"/>
    <col min="5" max="5" width="11.83203125" style="239" customWidth="1"/>
    <col min="6" max="6" width="9.1640625" style="239" bestFit="1" customWidth="1"/>
    <col min="7" max="7" width="10.6640625" style="239" bestFit="1" customWidth="1"/>
    <col min="8" max="8" width="11.6640625" style="239" bestFit="1" customWidth="1"/>
    <col min="9" max="9" width="10.5" style="239" customWidth="1"/>
    <col min="10" max="10" width="7.1640625" style="239" customWidth="1"/>
    <col min="11" max="12" width="9.1640625" style="239" bestFit="1" customWidth="1"/>
    <col min="13" max="14" width="10.6640625" style="239" bestFit="1" customWidth="1"/>
    <col min="15" max="15" width="14.1640625" style="239" customWidth="1"/>
    <col min="16" max="17" width="8.83203125" style="239"/>
    <col min="18" max="18" width="9" style="239" bestFit="1" customWidth="1"/>
    <col min="19" max="19" width="9.6640625" style="239" bestFit="1" customWidth="1"/>
    <col min="20" max="20" width="14.5" style="239" customWidth="1"/>
    <col min="21" max="21" width="9.1640625" style="239" bestFit="1" customWidth="1"/>
    <col min="22" max="22" width="8.33203125" style="239" customWidth="1"/>
    <col min="23" max="23" width="10.6640625" style="239" customWidth="1"/>
    <col min="24" max="24" width="10.6640625" style="239" bestFit="1" customWidth="1"/>
    <col min="25" max="25" width="14.33203125" style="239" customWidth="1"/>
    <col min="26" max="26" width="8.83203125" style="239"/>
    <col min="27" max="27" width="7.6640625" style="239" customWidth="1"/>
    <col min="28" max="28" width="8.33203125" style="239" customWidth="1"/>
    <col min="29" max="29" width="9.1640625" style="239" bestFit="1" customWidth="1"/>
    <col min="30" max="30" width="12.33203125" style="239" customWidth="1"/>
    <col min="31" max="31" width="10" style="239" customWidth="1"/>
    <col min="32" max="32" width="10.5" style="239" customWidth="1"/>
    <col min="33" max="33" width="11.33203125" style="239" customWidth="1"/>
    <col min="34" max="34" width="12.33203125" style="239" customWidth="1"/>
    <col min="35" max="35" width="14" style="239" customWidth="1"/>
    <col min="36" max="16384" width="8.83203125" style="239"/>
  </cols>
  <sheetData>
    <row r="1" spans="1:35" ht="15" thickBot="1"/>
    <row r="2" spans="1:35" ht="15" customHeight="1">
      <c r="A2" s="238"/>
      <c r="B2" s="563" t="s">
        <v>237</v>
      </c>
      <c r="C2" s="564"/>
      <c r="D2" s="564"/>
      <c r="E2" s="564"/>
      <c r="F2" s="564"/>
      <c r="G2" s="565"/>
      <c r="H2" s="563" t="s">
        <v>236</v>
      </c>
      <c r="I2" s="564"/>
      <c r="J2" s="564"/>
      <c r="K2" s="564"/>
      <c r="L2" s="564"/>
      <c r="M2" s="565"/>
      <c r="N2" s="563" t="s">
        <v>235</v>
      </c>
      <c r="O2" s="564"/>
      <c r="P2" s="564"/>
      <c r="Q2" s="564"/>
      <c r="R2" s="565"/>
      <c r="S2" s="563" t="s">
        <v>234</v>
      </c>
      <c r="T2" s="564"/>
      <c r="U2" s="564"/>
      <c r="V2" s="564"/>
      <c r="W2" s="565"/>
      <c r="X2" s="563" t="s">
        <v>233</v>
      </c>
      <c r="Y2" s="564"/>
      <c r="Z2" s="564"/>
      <c r="AA2" s="564"/>
      <c r="AB2" s="564"/>
      <c r="AC2" s="565"/>
      <c r="AD2" s="560" t="s">
        <v>427</v>
      </c>
      <c r="AE2" s="561"/>
      <c r="AF2" s="561"/>
      <c r="AG2" s="561"/>
      <c r="AH2" s="562"/>
      <c r="AI2" s="566" t="s">
        <v>232</v>
      </c>
    </row>
    <row r="3" spans="1:35" s="207" customFormat="1" ht="26" customHeight="1">
      <c r="A3" s="254"/>
      <c r="B3" s="237" t="s">
        <v>57</v>
      </c>
      <c r="C3" s="253" t="s">
        <v>231</v>
      </c>
      <c r="D3" s="236" t="s">
        <v>217</v>
      </c>
      <c r="E3" s="236" t="s">
        <v>218</v>
      </c>
      <c r="F3" s="236" t="s">
        <v>61</v>
      </c>
      <c r="G3" s="235" t="s">
        <v>215</v>
      </c>
      <c r="H3" s="237" t="s">
        <v>57</v>
      </c>
      <c r="I3" s="253" t="s">
        <v>231</v>
      </c>
      <c r="J3" s="236" t="s">
        <v>217</v>
      </c>
      <c r="K3" s="236" t="s">
        <v>218</v>
      </c>
      <c r="L3" s="236" t="s">
        <v>61</v>
      </c>
      <c r="M3" s="235" t="s">
        <v>215</v>
      </c>
      <c r="N3" s="237" t="s">
        <v>57</v>
      </c>
      <c r="O3" s="253" t="s">
        <v>231</v>
      </c>
      <c r="P3" s="236" t="s">
        <v>217</v>
      </c>
      <c r="Q3" s="236" t="s">
        <v>61</v>
      </c>
      <c r="R3" s="235" t="s">
        <v>215</v>
      </c>
      <c r="S3" s="237" t="s">
        <v>57</v>
      </c>
      <c r="T3" s="253" t="s">
        <v>231</v>
      </c>
      <c r="U3" s="236" t="s">
        <v>217</v>
      </c>
      <c r="V3" s="236" t="s">
        <v>61</v>
      </c>
      <c r="W3" s="235" t="s">
        <v>215</v>
      </c>
      <c r="X3" s="237" t="s">
        <v>57</v>
      </c>
      <c r="Y3" s="253" t="s">
        <v>231</v>
      </c>
      <c r="Z3" s="236" t="s">
        <v>217</v>
      </c>
      <c r="AA3" s="232" t="s">
        <v>218</v>
      </c>
      <c r="AB3" s="232" t="s">
        <v>61</v>
      </c>
      <c r="AC3" s="235" t="s">
        <v>215</v>
      </c>
      <c r="AD3" s="237" t="s">
        <v>57</v>
      </c>
      <c r="AE3" s="253" t="s">
        <v>231</v>
      </c>
      <c r="AF3" s="236" t="s">
        <v>217</v>
      </c>
      <c r="AG3" s="232" t="s">
        <v>218</v>
      </c>
      <c r="AH3" s="232" t="s">
        <v>61</v>
      </c>
      <c r="AI3" s="567"/>
    </row>
    <row r="4" spans="1:35" s="207" customFormat="1" ht="13">
      <c r="A4" s="250">
        <v>1997</v>
      </c>
      <c r="B4" s="249">
        <v>478060</v>
      </c>
      <c r="C4" s="247">
        <v>140264</v>
      </c>
      <c r="D4" s="247">
        <f>524850-B4</f>
        <v>46790</v>
      </c>
      <c r="E4" s="247">
        <v>1942516</v>
      </c>
      <c r="F4" s="247">
        <v>299759</v>
      </c>
      <c r="G4" s="246">
        <f t="shared" ref="G4:G20" si="0">SUM(B4:F4)</f>
        <v>2907389</v>
      </c>
      <c r="H4" s="249">
        <v>773270</v>
      </c>
      <c r="I4" s="247">
        <v>15128</v>
      </c>
      <c r="J4" s="248" t="s">
        <v>18</v>
      </c>
      <c r="K4" s="247">
        <v>136706</v>
      </c>
      <c r="L4" s="247">
        <v>308750</v>
      </c>
      <c r="M4" s="246">
        <f t="shared" ref="M4:M18" si="1">SUM(H4:L4)</f>
        <v>1233854</v>
      </c>
      <c r="N4" s="249">
        <v>23190</v>
      </c>
      <c r="O4" s="247">
        <v>19190</v>
      </c>
      <c r="P4" s="247">
        <f>86800-N4</f>
        <v>63610</v>
      </c>
      <c r="Q4" s="247">
        <v>4591</v>
      </c>
      <c r="R4" s="246">
        <f t="shared" ref="R4:R19" si="2">SUM(N4:Q4)</f>
        <v>110581</v>
      </c>
      <c r="S4" s="249">
        <v>7600</v>
      </c>
      <c r="T4" s="247">
        <v>57658</v>
      </c>
      <c r="U4" s="247">
        <f>247510-S4</f>
        <v>239910</v>
      </c>
      <c r="V4" s="247">
        <v>758</v>
      </c>
      <c r="W4" s="246">
        <f t="shared" ref="W4:W18" si="3">SUM(S4:V4)</f>
        <v>305926</v>
      </c>
      <c r="X4" s="249">
        <v>76530</v>
      </c>
      <c r="Y4" s="247">
        <f>103950-X4</f>
        <v>27420</v>
      </c>
      <c r="Z4" s="247">
        <f>103950-76530</f>
        <v>27420</v>
      </c>
      <c r="AA4" s="247">
        <v>807</v>
      </c>
      <c r="AB4" s="252">
        <v>4450</v>
      </c>
      <c r="AC4" s="246">
        <f t="shared" ref="AC4:AC18" si="4">SUM(X4:AB4)</f>
        <v>136627</v>
      </c>
      <c r="AD4" s="425">
        <f>B4+H4+N4+S4+X4</f>
        <v>1358650</v>
      </c>
      <c r="AE4" s="426">
        <f>C4+I4+O4+T4+Y4</f>
        <v>259660</v>
      </c>
      <c r="AF4" s="426">
        <f>D4+P4+U4+Z4</f>
        <v>377730</v>
      </c>
      <c r="AG4" s="427">
        <f>E4+K4+AA4</f>
        <v>2080029</v>
      </c>
      <c r="AH4" s="428">
        <f>F4+L4+Q4+V4+AB4</f>
        <v>618308</v>
      </c>
      <c r="AI4" s="245">
        <f t="shared" ref="AI4:AI17" si="5">SUM(G4+M4+R4+W4+AC4)</f>
        <v>4694377</v>
      </c>
    </row>
    <row r="5" spans="1:35" s="207" customFormat="1" ht="13">
      <c r="A5" s="250">
        <v>1998</v>
      </c>
      <c r="B5" s="249">
        <v>479200</v>
      </c>
      <c r="C5" s="247">
        <v>149514</v>
      </c>
      <c r="D5" s="247">
        <f>524160-B5</f>
        <v>44960</v>
      </c>
      <c r="E5" s="247">
        <v>1873886</v>
      </c>
      <c r="F5" s="247">
        <v>288309</v>
      </c>
      <c r="G5" s="246">
        <f t="shared" si="0"/>
        <v>2835869</v>
      </c>
      <c r="H5" s="249">
        <v>872530</v>
      </c>
      <c r="I5" s="247">
        <v>36079</v>
      </c>
      <c r="J5" s="247">
        <f>877610-H5</f>
        <v>5080</v>
      </c>
      <c r="K5" s="247">
        <v>140552</v>
      </c>
      <c r="L5" s="247">
        <v>317860</v>
      </c>
      <c r="M5" s="246">
        <f t="shared" si="1"/>
        <v>1372101</v>
      </c>
      <c r="N5" s="249">
        <v>21550</v>
      </c>
      <c r="O5" s="247">
        <v>16990</v>
      </c>
      <c r="P5" s="247">
        <f>84690-N5</f>
        <v>63140</v>
      </c>
      <c r="Q5" s="247">
        <v>3123</v>
      </c>
      <c r="R5" s="246">
        <f t="shared" si="2"/>
        <v>104803</v>
      </c>
      <c r="S5" s="249">
        <v>8650</v>
      </c>
      <c r="T5" s="247">
        <v>49500</v>
      </c>
      <c r="U5" s="247">
        <f>242570-S5</f>
        <v>233920</v>
      </c>
      <c r="V5" s="247">
        <v>337</v>
      </c>
      <c r="W5" s="246">
        <f t="shared" si="3"/>
        <v>292407</v>
      </c>
      <c r="X5" s="249">
        <v>70630</v>
      </c>
      <c r="Y5" s="247">
        <v>84205</v>
      </c>
      <c r="Z5" s="247">
        <f>91800-X5</f>
        <v>21170</v>
      </c>
      <c r="AA5" s="247">
        <v>443</v>
      </c>
      <c r="AB5" s="252">
        <v>16388</v>
      </c>
      <c r="AC5" s="246">
        <f t="shared" si="4"/>
        <v>192836</v>
      </c>
      <c r="AD5" s="425">
        <f t="shared" ref="AD5:AD20" si="6">B5+H5+N5+S5+X5</f>
        <v>1452560</v>
      </c>
      <c r="AE5" s="426">
        <f t="shared" ref="AE5:AE20" si="7">C5+I5+O5+T5+Y5</f>
        <v>336288</v>
      </c>
      <c r="AF5" s="426">
        <f t="shared" ref="AF5:AF20" si="8">D5+J5+P5+U5+Z5</f>
        <v>368270</v>
      </c>
      <c r="AG5" s="427">
        <f t="shared" ref="AG5:AG20" si="9">E5+K5+AA5</f>
        <v>2014881</v>
      </c>
      <c r="AH5" s="428">
        <f t="shared" ref="AH5:AH20" si="10">F5+L5+Q5+V5+AB5</f>
        <v>626017</v>
      </c>
      <c r="AI5" s="245">
        <f t="shared" si="5"/>
        <v>4798016</v>
      </c>
    </row>
    <row r="6" spans="1:35" s="207" customFormat="1" ht="13">
      <c r="A6" s="250">
        <v>1999</v>
      </c>
      <c r="B6" s="249">
        <v>460860</v>
      </c>
      <c r="C6" s="247">
        <v>171977</v>
      </c>
      <c r="D6" s="247">
        <f>520800-B6</f>
        <v>59940</v>
      </c>
      <c r="E6" s="247">
        <v>1867901</v>
      </c>
      <c r="F6" s="247">
        <v>278668</v>
      </c>
      <c r="G6" s="246">
        <f t="shared" si="0"/>
        <v>2839346</v>
      </c>
      <c r="H6" s="249">
        <v>877770</v>
      </c>
      <c r="I6" s="247">
        <v>13745</v>
      </c>
      <c r="J6" s="247">
        <f>877780-H6</f>
        <v>10</v>
      </c>
      <c r="K6" s="247">
        <v>142089</v>
      </c>
      <c r="L6" s="247">
        <v>268443</v>
      </c>
      <c r="M6" s="246">
        <f t="shared" si="1"/>
        <v>1302057</v>
      </c>
      <c r="N6" s="249">
        <v>22030</v>
      </c>
      <c r="O6" s="247">
        <v>20734</v>
      </c>
      <c r="P6" s="247">
        <f>88000-N6</f>
        <v>65970</v>
      </c>
      <c r="Q6" s="247">
        <v>1336</v>
      </c>
      <c r="R6" s="246">
        <f t="shared" si="2"/>
        <v>110070</v>
      </c>
      <c r="S6" s="249">
        <v>8000</v>
      </c>
      <c r="T6" s="247">
        <v>54134</v>
      </c>
      <c r="U6" s="247">
        <f>208130-S6</f>
        <v>200130</v>
      </c>
      <c r="V6" s="247">
        <v>619</v>
      </c>
      <c r="W6" s="246">
        <f t="shared" si="3"/>
        <v>262883</v>
      </c>
      <c r="X6" s="249">
        <v>66520</v>
      </c>
      <c r="Y6" s="247">
        <v>136673</v>
      </c>
      <c r="Z6" s="247">
        <f>87320-X6</f>
        <v>20800</v>
      </c>
      <c r="AA6" s="247">
        <v>283</v>
      </c>
      <c r="AB6" s="247">
        <v>17084</v>
      </c>
      <c r="AC6" s="246">
        <f t="shared" si="4"/>
        <v>241360</v>
      </c>
      <c r="AD6" s="425">
        <f t="shared" si="6"/>
        <v>1435180</v>
      </c>
      <c r="AE6" s="426">
        <f t="shared" si="7"/>
        <v>397263</v>
      </c>
      <c r="AF6" s="426">
        <f t="shared" si="8"/>
        <v>346850</v>
      </c>
      <c r="AG6" s="427">
        <f t="shared" si="9"/>
        <v>2010273</v>
      </c>
      <c r="AH6" s="428">
        <f t="shared" si="10"/>
        <v>566150</v>
      </c>
      <c r="AI6" s="245">
        <f t="shared" si="5"/>
        <v>4755716</v>
      </c>
    </row>
    <row r="7" spans="1:35" s="207" customFormat="1" ht="13">
      <c r="A7" s="250">
        <v>2000</v>
      </c>
      <c r="B7" s="249">
        <v>507690</v>
      </c>
      <c r="C7" s="247">
        <v>124109</v>
      </c>
      <c r="D7" s="247">
        <f>546460-B7</f>
        <v>38770</v>
      </c>
      <c r="E7" s="247">
        <v>1817434</v>
      </c>
      <c r="F7" s="247">
        <v>326071</v>
      </c>
      <c r="G7" s="246">
        <f t="shared" si="0"/>
        <v>2814074</v>
      </c>
      <c r="H7" s="249">
        <v>883720</v>
      </c>
      <c r="I7" s="247">
        <v>13787</v>
      </c>
      <c r="J7" s="247">
        <f>885350-H7</f>
        <v>1630</v>
      </c>
      <c r="K7" s="247">
        <v>139069</v>
      </c>
      <c r="L7" s="247">
        <v>337847</v>
      </c>
      <c r="M7" s="246">
        <f t="shared" si="1"/>
        <v>1376053</v>
      </c>
      <c r="N7" s="249">
        <v>19300</v>
      </c>
      <c r="O7" s="247">
        <v>22756</v>
      </c>
      <c r="P7" s="247">
        <f>73010-N7</f>
        <v>53710</v>
      </c>
      <c r="Q7" s="247">
        <v>690</v>
      </c>
      <c r="R7" s="246">
        <f t="shared" si="2"/>
        <v>96456</v>
      </c>
      <c r="S7" s="249">
        <v>9190</v>
      </c>
      <c r="T7" s="247">
        <v>53016</v>
      </c>
      <c r="U7" s="247">
        <f>209480-S7</f>
        <v>200290</v>
      </c>
      <c r="V7" s="247">
        <v>428</v>
      </c>
      <c r="W7" s="246">
        <f t="shared" si="3"/>
        <v>262924</v>
      </c>
      <c r="X7" s="249">
        <v>59820</v>
      </c>
      <c r="Y7" s="247">
        <v>149792</v>
      </c>
      <c r="Z7" s="247">
        <f>76790-X7</f>
        <v>16970</v>
      </c>
      <c r="AA7" s="247">
        <v>377</v>
      </c>
      <c r="AB7" s="247">
        <v>5475</v>
      </c>
      <c r="AC7" s="246">
        <f t="shared" si="4"/>
        <v>232434</v>
      </c>
      <c r="AD7" s="425">
        <f t="shared" si="6"/>
        <v>1479720</v>
      </c>
      <c r="AE7" s="426">
        <f t="shared" si="7"/>
        <v>363460</v>
      </c>
      <c r="AF7" s="426">
        <f t="shared" si="8"/>
        <v>311370</v>
      </c>
      <c r="AG7" s="427">
        <f t="shared" si="9"/>
        <v>1956880</v>
      </c>
      <c r="AH7" s="428">
        <f t="shared" si="10"/>
        <v>670511</v>
      </c>
      <c r="AI7" s="245">
        <f t="shared" si="5"/>
        <v>4781941</v>
      </c>
    </row>
    <row r="8" spans="1:35" s="207" customFormat="1" ht="13">
      <c r="A8" s="250">
        <v>2001</v>
      </c>
      <c r="B8" s="249">
        <v>465440</v>
      </c>
      <c r="C8" s="247">
        <v>75803</v>
      </c>
      <c r="D8" s="247">
        <f>493860-B8</f>
        <v>28420</v>
      </c>
      <c r="E8" s="247">
        <v>1831152</v>
      </c>
      <c r="F8" s="247">
        <v>315990</v>
      </c>
      <c r="G8" s="246">
        <f t="shared" si="0"/>
        <v>2716805</v>
      </c>
      <c r="H8" s="249">
        <v>942210</v>
      </c>
      <c r="I8" s="247">
        <v>13192</v>
      </c>
      <c r="J8" s="248" t="s">
        <v>18</v>
      </c>
      <c r="K8" s="247">
        <v>142724</v>
      </c>
      <c r="L8" s="247">
        <v>270298</v>
      </c>
      <c r="M8" s="246">
        <f t="shared" si="1"/>
        <v>1368424</v>
      </c>
      <c r="N8" s="249">
        <v>21010</v>
      </c>
      <c r="O8" s="247">
        <v>21512</v>
      </c>
      <c r="P8" s="247">
        <f>74980-N8</f>
        <v>53970</v>
      </c>
      <c r="Q8" s="247">
        <v>2545</v>
      </c>
      <c r="R8" s="246">
        <f t="shared" si="2"/>
        <v>99037</v>
      </c>
      <c r="S8" s="249">
        <v>9870</v>
      </c>
      <c r="T8" s="247">
        <v>45504</v>
      </c>
      <c r="U8" s="247">
        <f>212070-S8</f>
        <v>202200</v>
      </c>
      <c r="V8" s="247">
        <v>517</v>
      </c>
      <c r="W8" s="246">
        <f t="shared" si="3"/>
        <v>258091</v>
      </c>
      <c r="X8" s="249">
        <v>39170</v>
      </c>
      <c r="Y8" s="247">
        <v>181822</v>
      </c>
      <c r="Z8" s="247">
        <f>60980-X8</f>
        <v>21810</v>
      </c>
      <c r="AA8" s="247">
        <v>260</v>
      </c>
      <c r="AB8" s="247">
        <v>716</v>
      </c>
      <c r="AC8" s="246">
        <f t="shared" si="4"/>
        <v>243778</v>
      </c>
      <c r="AD8" s="425">
        <f t="shared" si="6"/>
        <v>1477700</v>
      </c>
      <c r="AE8" s="426">
        <f t="shared" si="7"/>
        <v>337833</v>
      </c>
      <c r="AF8" s="426">
        <f>D8+P8+U8+Z8</f>
        <v>306400</v>
      </c>
      <c r="AG8" s="427">
        <f t="shared" si="9"/>
        <v>1974136</v>
      </c>
      <c r="AH8" s="428">
        <f t="shared" si="10"/>
        <v>590066</v>
      </c>
      <c r="AI8" s="245">
        <f t="shared" si="5"/>
        <v>4686135</v>
      </c>
    </row>
    <row r="9" spans="1:35" s="207" customFormat="1" ht="13">
      <c r="A9" s="250">
        <v>2002</v>
      </c>
      <c r="B9" s="249">
        <v>450990</v>
      </c>
      <c r="C9" s="247">
        <v>152189</v>
      </c>
      <c r="D9" s="247">
        <f>508320-B9</f>
        <v>57330</v>
      </c>
      <c r="E9" s="247">
        <v>1851588</v>
      </c>
      <c r="F9" s="247">
        <v>306844</v>
      </c>
      <c r="G9" s="246">
        <f t="shared" si="0"/>
        <v>2818941</v>
      </c>
      <c r="H9" s="249">
        <v>938200</v>
      </c>
      <c r="I9" s="247">
        <v>20836</v>
      </c>
      <c r="J9" s="247">
        <f>939490-H9</f>
        <v>1290</v>
      </c>
      <c r="K9" s="247">
        <v>144782</v>
      </c>
      <c r="L9" s="247">
        <v>349486</v>
      </c>
      <c r="M9" s="246">
        <f t="shared" si="1"/>
        <v>1454594</v>
      </c>
      <c r="N9" s="249">
        <v>20400</v>
      </c>
      <c r="O9" s="247">
        <v>20460</v>
      </c>
      <c r="P9" s="247">
        <f>72640-N9</f>
        <v>52240</v>
      </c>
      <c r="Q9" s="247">
        <v>1917</v>
      </c>
      <c r="R9" s="246">
        <f t="shared" si="2"/>
        <v>95017</v>
      </c>
      <c r="S9" s="249">
        <v>8310</v>
      </c>
      <c r="T9" s="247">
        <v>52948</v>
      </c>
      <c r="U9" s="247">
        <f>208010-S9</f>
        <v>199700</v>
      </c>
      <c r="V9" s="247">
        <v>297</v>
      </c>
      <c r="W9" s="246">
        <f t="shared" si="3"/>
        <v>261255</v>
      </c>
      <c r="X9" s="249">
        <v>66640</v>
      </c>
      <c r="Y9" s="247">
        <v>225105</v>
      </c>
      <c r="Z9" s="247">
        <f>95680-X9</f>
        <v>29040</v>
      </c>
      <c r="AA9" s="247">
        <v>200</v>
      </c>
      <c r="AB9" s="247">
        <v>9588</v>
      </c>
      <c r="AC9" s="246">
        <f t="shared" si="4"/>
        <v>330573</v>
      </c>
      <c r="AD9" s="425">
        <f t="shared" si="6"/>
        <v>1484540</v>
      </c>
      <c r="AE9" s="426">
        <f t="shared" si="7"/>
        <v>471538</v>
      </c>
      <c r="AF9" s="426">
        <f t="shared" si="8"/>
        <v>339600</v>
      </c>
      <c r="AG9" s="427">
        <f t="shared" si="9"/>
        <v>1996570</v>
      </c>
      <c r="AH9" s="428">
        <f t="shared" si="10"/>
        <v>668132</v>
      </c>
      <c r="AI9" s="245">
        <f t="shared" si="5"/>
        <v>4960380</v>
      </c>
    </row>
    <row r="10" spans="1:35" s="207" customFormat="1" ht="13">
      <c r="A10" s="250">
        <v>2003</v>
      </c>
      <c r="B10" s="249">
        <v>466190</v>
      </c>
      <c r="C10" s="247">
        <v>137736</v>
      </c>
      <c r="D10" s="247">
        <f>522880-B10</f>
        <v>56690</v>
      </c>
      <c r="E10" s="247">
        <v>1838801</v>
      </c>
      <c r="F10" s="247">
        <v>363176</v>
      </c>
      <c r="G10" s="246">
        <f t="shared" si="0"/>
        <v>2862593</v>
      </c>
      <c r="H10" s="249">
        <v>962470</v>
      </c>
      <c r="I10" s="247">
        <v>16596</v>
      </c>
      <c r="J10" s="248" t="s">
        <v>18</v>
      </c>
      <c r="K10" s="247">
        <v>144028</v>
      </c>
      <c r="L10" s="247">
        <v>236521</v>
      </c>
      <c r="M10" s="246">
        <f t="shared" si="1"/>
        <v>1359615</v>
      </c>
      <c r="N10" s="249">
        <v>20880</v>
      </c>
      <c r="O10" s="247">
        <v>18774</v>
      </c>
      <c r="P10" s="247">
        <f>66910-N10</f>
        <v>46030</v>
      </c>
      <c r="Q10" s="247">
        <v>3451</v>
      </c>
      <c r="R10" s="246">
        <f t="shared" si="2"/>
        <v>89135</v>
      </c>
      <c r="S10" s="249">
        <v>8990</v>
      </c>
      <c r="T10" s="247">
        <v>50908</v>
      </c>
      <c r="U10" s="247">
        <f>198190-S10</f>
        <v>189200</v>
      </c>
      <c r="V10" s="247">
        <v>741</v>
      </c>
      <c r="W10" s="246">
        <f t="shared" si="3"/>
        <v>249839</v>
      </c>
      <c r="X10" s="249">
        <v>63490</v>
      </c>
      <c r="Y10" s="247">
        <v>287039</v>
      </c>
      <c r="Z10" s="247">
        <f>95600-X10</f>
        <v>32110</v>
      </c>
      <c r="AA10" s="247">
        <v>157</v>
      </c>
      <c r="AB10" s="247">
        <v>10288</v>
      </c>
      <c r="AC10" s="246">
        <f t="shared" si="4"/>
        <v>393084</v>
      </c>
      <c r="AD10" s="425">
        <f t="shared" si="6"/>
        <v>1522020</v>
      </c>
      <c r="AE10" s="426">
        <f t="shared" si="7"/>
        <v>511053</v>
      </c>
      <c r="AF10" s="426">
        <f>D10+P10+U10+Z10</f>
        <v>324030</v>
      </c>
      <c r="AG10" s="427">
        <f t="shared" si="9"/>
        <v>1982986</v>
      </c>
      <c r="AH10" s="428">
        <f t="shared" si="10"/>
        <v>614177</v>
      </c>
      <c r="AI10" s="245">
        <f t="shared" si="5"/>
        <v>4954266</v>
      </c>
    </row>
    <row r="11" spans="1:35" s="207" customFormat="1" ht="13">
      <c r="A11" s="250">
        <v>2004</v>
      </c>
      <c r="B11" s="249">
        <v>579960</v>
      </c>
      <c r="C11" s="247">
        <v>104987</v>
      </c>
      <c r="D11" s="247">
        <f>631690-B11</f>
        <v>51730</v>
      </c>
      <c r="E11" s="247">
        <v>1815713</v>
      </c>
      <c r="F11" s="247">
        <v>363089</v>
      </c>
      <c r="G11" s="246">
        <f t="shared" si="0"/>
        <v>2915479</v>
      </c>
      <c r="H11" s="249">
        <v>961340</v>
      </c>
      <c r="I11" s="247">
        <v>17048</v>
      </c>
      <c r="J11" s="247">
        <f>962460-H11</f>
        <v>1120</v>
      </c>
      <c r="K11" s="247">
        <v>145095</v>
      </c>
      <c r="L11" s="247">
        <v>295824</v>
      </c>
      <c r="M11" s="246">
        <f t="shared" si="1"/>
        <v>1420427</v>
      </c>
      <c r="N11" s="249">
        <v>22800</v>
      </c>
      <c r="O11" s="247">
        <v>15454</v>
      </c>
      <c r="P11" s="247">
        <f>68170-N11</f>
        <v>45370</v>
      </c>
      <c r="Q11" s="247">
        <v>11848</v>
      </c>
      <c r="R11" s="246">
        <f t="shared" si="2"/>
        <v>95472</v>
      </c>
      <c r="S11" s="249">
        <v>9530</v>
      </c>
      <c r="T11" s="247">
        <v>51514</v>
      </c>
      <c r="U11" s="247">
        <f>174820-S11</f>
        <v>165290</v>
      </c>
      <c r="V11" s="247">
        <v>1177</v>
      </c>
      <c r="W11" s="246">
        <f t="shared" si="3"/>
        <v>227511</v>
      </c>
      <c r="X11" s="249">
        <v>72260</v>
      </c>
      <c r="Y11" s="247">
        <v>344410</v>
      </c>
      <c r="Z11" s="247">
        <f>97660-X11</f>
        <v>25400</v>
      </c>
      <c r="AA11" s="247">
        <v>168</v>
      </c>
      <c r="AB11" s="247">
        <v>8381</v>
      </c>
      <c r="AC11" s="246">
        <f t="shared" si="4"/>
        <v>450619</v>
      </c>
      <c r="AD11" s="425">
        <f t="shared" si="6"/>
        <v>1645890</v>
      </c>
      <c r="AE11" s="426">
        <f t="shared" si="7"/>
        <v>533413</v>
      </c>
      <c r="AF11" s="426">
        <f t="shared" si="8"/>
        <v>288910</v>
      </c>
      <c r="AG11" s="427">
        <f t="shared" si="9"/>
        <v>1960976</v>
      </c>
      <c r="AH11" s="428">
        <f t="shared" si="10"/>
        <v>680319</v>
      </c>
      <c r="AI11" s="245">
        <f t="shared" si="5"/>
        <v>5109508</v>
      </c>
    </row>
    <row r="12" spans="1:35" s="207" customFormat="1" ht="13">
      <c r="A12" s="250">
        <v>2005</v>
      </c>
      <c r="B12" s="249">
        <v>582790</v>
      </c>
      <c r="C12" s="247">
        <v>131787</v>
      </c>
      <c r="D12" s="247">
        <f>630590-B12</f>
        <v>47800</v>
      </c>
      <c r="E12" s="247">
        <v>1844388</v>
      </c>
      <c r="F12" s="247">
        <v>387329</v>
      </c>
      <c r="G12" s="246">
        <f t="shared" si="0"/>
        <v>2994094</v>
      </c>
      <c r="H12" s="251">
        <v>808410</v>
      </c>
      <c r="I12" s="247">
        <v>11721</v>
      </c>
      <c r="J12" s="248" t="s">
        <v>18</v>
      </c>
      <c r="K12" s="247">
        <v>145903</v>
      </c>
      <c r="L12" s="247">
        <v>278183</v>
      </c>
      <c r="M12" s="246">
        <f t="shared" si="1"/>
        <v>1244217</v>
      </c>
      <c r="N12" s="249">
        <v>21310</v>
      </c>
      <c r="O12" s="247">
        <v>16548</v>
      </c>
      <c r="P12" s="247">
        <f>63330-N12</f>
        <v>42020</v>
      </c>
      <c r="Q12" s="247">
        <v>6844</v>
      </c>
      <c r="R12" s="246">
        <f t="shared" si="2"/>
        <v>86722</v>
      </c>
      <c r="S12" s="249">
        <v>9420</v>
      </c>
      <c r="T12" s="247">
        <v>44425</v>
      </c>
      <c r="U12" s="247">
        <f>183920-S12</f>
        <v>174500</v>
      </c>
      <c r="V12" s="247">
        <v>839</v>
      </c>
      <c r="W12" s="246">
        <f t="shared" si="3"/>
        <v>229184</v>
      </c>
      <c r="X12" s="249">
        <v>38350</v>
      </c>
      <c r="Y12" s="247">
        <v>313524</v>
      </c>
      <c r="Z12" s="247">
        <f>57750-X12</f>
        <v>19400</v>
      </c>
      <c r="AA12" s="247">
        <v>464</v>
      </c>
      <c r="AB12" s="247">
        <v>9688</v>
      </c>
      <c r="AC12" s="246">
        <f t="shared" si="4"/>
        <v>381426</v>
      </c>
      <c r="AD12" s="425">
        <f t="shared" si="6"/>
        <v>1460280</v>
      </c>
      <c r="AE12" s="426">
        <f t="shared" si="7"/>
        <v>518005</v>
      </c>
      <c r="AF12" s="426">
        <f>D12+P12+U12+Z12</f>
        <v>283720</v>
      </c>
      <c r="AG12" s="427">
        <f t="shared" si="9"/>
        <v>1990755</v>
      </c>
      <c r="AH12" s="428">
        <f t="shared" si="10"/>
        <v>682883</v>
      </c>
      <c r="AI12" s="245">
        <f t="shared" si="5"/>
        <v>4935643</v>
      </c>
    </row>
    <row r="13" spans="1:35" s="207" customFormat="1" ht="13">
      <c r="A13" s="250">
        <v>2006</v>
      </c>
      <c r="B13" s="249">
        <v>541250</v>
      </c>
      <c r="C13" s="247">
        <v>121157</v>
      </c>
      <c r="D13" s="247">
        <f>578850-B13</f>
        <v>37600</v>
      </c>
      <c r="E13" s="247">
        <v>1845186</v>
      </c>
      <c r="F13" s="247">
        <v>336055</v>
      </c>
      <c r="G13" s="246">
        <f t="shared" si="0"/>
        <v>2881248</v>
      </c>
      <c r="H13" s="249">
        <v>808650</v>
      </c>
      <c r="I13" s="247">
        <v>20130</v>
      </c>
      <c r="J13" s="247">
        <f>809540-H13</f>
        <v>890</v>
      </c>
      <c r="K13" s="247">
        <v>147204</v>
      </c>
      <c r="L13" s="247">
        <v>323667</v>
      </c>
      <c r="M13" s="246">
        <f t="shared" si="1"/>
        <v>1300541</v>
      </c>
      <c r="N13" s="249">
        <v>22670</v>
      </c>
      <c r="O13" s="247">
        <v>11575</v>
      </c>
      <c r="P13" s="247">
        <f>61110-N13</f>
        <v>38440</v>
      </c>
      <c r="Q13" s="247">
        <v>1918</v>
      </c>
      <c r="R13" s="246">
        <f t="shared" si="2"/>
        <v>74603</v>
      </c>
      <c r="S13" s="249">
        <v>10150</v>
      </c>
      <c r="T13" s="247">
        <v>41010</v>
      </c>
      <c r="U13" s="247">
        <f>181250-S13</f>
        <v>171100</v>
      </c>
      <c r="V13" s="247">
        <v>779</v>
      </c>
      <c r="W13" s="246">
        <f t="shared" si="3"/>
        <v>223039</v>
      </c>
      <c r="X13" s="249">
        <v>53480</v>
      </c>
      <c r="Y13" s="247">
        <v>181140</v>
      </c>
      <c r="Z13" s="247">
        <f>75310-X13</f>
        <v>21830</v>
      </c>
      <c r="AA13" s="247">
        <v>312</v>
      </c>
      <c r="AB13" s="247">
        <v>5385</v>
      </c>
      <c r="AC13" s="246">
        <f t="shared" si="4"/>
        <v>262147</v>
      </c>
      <c r="AD13" s="425">
        <f t="shared" si="6"/>
        <v>1436200</v>
      </c>
      <c r="AE13" s="426">
        <f t="shared" si="7"/>
        <v>375012</v>
      </c>
      <c r="AF13" s="426">
        <f t="shared" si="8"/>
        <v>269860</v>
      </c>
      <c r="AG13" s="427">
        <f t="shared" si="9"/>
        <v>1992702</v>
      </c>
      <c r="AH13" s="428">
        <f t="shared" si="10"/>
        <v>667804</v>
      </c>
      <c r="AI13" s="245">
        <f t="shared" si="5"/>
        <v>4741578</v>
      </c>
    </row>
    <row r="14" spans="1:35" s="207" customFormat="1" ht="13">
      <c r="A14" s="250">
        <v>2007</v>
      </c>
      <c r="B14" s="249">
        <v>604600</v>
      </c>
      <c r="C14" s="247">
        <v>141719</v>
      </c>
      <c r="D14" s="247">
        <f>653450-B14</f>
        <v>48850</v>
      </c>
      <c r="E14" s="247">
        <v>1870269</v>
      </c>
      <c r="F14" s="247">
        <v>418280</v>
      </c>
      <c r="G14" s="246">
        <f t="shared" si="0"/>
        <v>3083718</v>
      </c>
      <c r="H14" s="249">
        <v>857650</v>
      </c>
      <c r="I14" s="247">
        <v>11549</v>
      </c>
      <c r="J14" s="248" t="s">
        <v>18</v>
      </c>
      <c r="K14" s="247">
        <v>151239</v>
      </c>
      <c r="L14" s="247">
        <v>405538</v>
      </c>
      <c r="M14" s="246">
        <f t="shared" si="1"/>
        <v>1425976</v>
      </c>
      <c r="N14" s="249">
        <v>25700</v>
      </c>
      <c r="O14" s="247">
        <v>10950</v>
      </c>
      <c r="P14" s="247">
        <f>68140-N14</f>
        <v>42440</v>
      </c>
      <c r="Q14" s="247">
        <v>6458</v>
      </c>
      <c r="R14" s="246">
        <f t="shared" si="2"/>
        <v>85548</v>
      </c>
      <c r="S14" s="249">
        <v>10640</v>
      </c>
      <c r="T14" s="247">
        <v>44438</v>
      </c>
      <c r="U14" s="247">
        <f>218370-S14</f>
        <v>207730</v>
      </c>
      <c r="V14" s="247">
        <v>799</v>
      </c>
      <c r="W14" s="246">
        <f t="shared" si="3"/>
        <v>263607</v>
      </c>
      <c r="X14" s="249">
        <v>63380</v>
      </c>
      <c r="Y14" s="247">
        <v>177316</v>
      </c>
      <c r="Z14" s="247">
        <f>78830-X14</f>
        <v>15450</v>
      </c>
      <c r="AA14" s="247">
        <v>327</v>
      </c>
      <c r="AB14" s="247">
        <v>10121</v>
      </c>
      <c r="AC14" s="246">
        <f t="shared" si="4"/>
        <v>266594</v>
      </c>
      <c r="AD14" s="425">
        <f t="shared" si="6"/>
        <v>1561970</v>
      </c>
      <c r="AE14" s="426">
        <f t="shared" si="7"/>
        <v>385972</v>
      </c>
      <c r="AF14" s="426">
        <f>D14+P14+U14+Z14</f>
        <v>314470</v>
      </c>
      <c r="AG14" s="427">
        <f t="shared" si="9"/>
        <v>2021835</v>
      </c>
      <c r="AH14" s="428">
        <f t="shared" si="10"/>
        <v>841196</v>
      </c>
      <c r="AI14" s="245">
        <f t="shared" si="5"/>
        <v>5125443</v>
      </c>
    </row>
    <row r="15" spans="1:35" s="207" customFormat="1" ht="13">
      <c r="A15" s="250">
        <v>2008</v>
      </c>
      <c r="B15" s="249">
        <v>567460</v>
      </c>
      <c r="C15" s="247">
        <v>81829</v>
      </c>
      <c r="D15" s="247">
        <f>603570-B15</f>
        <v>36110</v>
      </c>
      <c r="E15" s="247">
        <v>1887738</v>
      </c>
      <c r="F15" s="247">
        <v>508329</v>
      </c>
      <c r="G15" s="246">
        <f t="shared" si="0"/>
        <v>3081466</v>
      </c>
      <c r="H15" s="249">
        <v>822840</v>
      </c>
      <c r="I15" s="247">
        <v>22231</v>
      </c>
      <c r="J15" s="247">
        <f>823370-H15</f>
        <v>530</v>
      </c>
      <c r="K15" s="247">
        <v>141811</v>
      </c>
      <c r="L15" s="247">
        <v>401031</v>
      </c>
      <c r="M15" s="246">
        <f t="shared" si="1"/>
        <v>1388443</v>
      </c>
      <c r="N15" s="249">
        <v>24910</v>
      </c>
      <c r="O15" s="247">
        <v>11315</v>
      </c>
      <c r="P15" s="247">
        <f>67440-N15</f>
        <v>42530</v>
      </c>
      <c r="Q15" s="247">
        <v>4985</v>
      </c>
      <c r="R15" s="246">
        <f t="shared" si="2"/>
        <v>83740</v>
      </c>
      <c r="S15" s="249">
        <v>11470</v>
      </c>
      <c r="T15" s="247">
        <v>38388</v>
      </c>
      <c r="U15" s="247">
        <f>198480-S15</f>
        <v>187010</v>
      </c>
      <c r="V15" s="247">
        <v>1541</v>
      </c>
      <c r="W15" s="246">
        <f t="shared" si="3"/>
        <v>238409</v>
      </c>
      <c r="X15" s="249">
        <v>60420</v>
      </c>
      <c r="Y15" s="247">
        <v>177019</v>
      </c>
      <c r="Z15" s="247">
        <f>66140-X15</f>
        <v>5720</v>
      </c>
      <c r="AA15" s="247">
        <v>371</v>
      </c>
      <c r="AB15" s="247">
        <v>10295</v>
      </c>
      <c r="AC15" s="246">
        <f t="shared" si="4"/>
        <v>253825</v>
      </c>
      <c r="AD15" s="425">
        <f t="shared" si="6"/>
        <v>1487100</v>
      </c>
      <c r="AE15" s="426">
        <f t="shared" si="7"/>
        <v>330782</v>
      </c>
      <c r="AF15" s="426">
        <f t="shared" si="8"/>
        <v>271900</v>
      </c>
      <c r="AG15" s="427">
        <f t="shared" si="9"/>
        <v>2029920</v>
      </c>
      <c r="AH15" s="428">
        <f t="shared" si="10"/>
        <v>926181</v>
      </c>
      <c r="AI15" s="245">
        <f t="shared" si="5"/>
        <v>5045883</v>
      </c>
    </row>
    <row r="16" spans="1:35" s="207" customFormat="1" ht="13">
      <c r="A16" s="250">
        <v>2009</v>
      </c>
      <c r="B16" s="249">
        <v>551720</v>
      </c>
      <c r="C16" s="247">
        <v>78770</v>
      </c>
      <c r="D16" s="247">
        <f>577250-B16</f>
        <v>25530</v>
      </c>
      <c r="E16" s="247">
        <v>1809759</v>
      </c>
      <c r="F16" s="247">
        <v>530266</v>
      </c>
      <c r="G16" s="246">
        <f t="shared" si="0"/>
        <v>2996045</v>
      </c>
      <c r="H16" s="249">
        <v>817870</v>
      </c>
      <c r="I16" s="247">
        <v>14898</v>
      </c>
      <c r="J16" s="248" t="s">
        <v>18</v>
      </c>
      <c r="K16" s="247">
        <v>149774</v>
      </c>
      <c r="L16" s="247">
        <v>351412</v>
      </c>
      <c r="M16" s="246">
        <f t="shared" si="1"/>
        <v>1333954</v>
      </c>
      <c r="N16" s="249">
        <v>23490</v>
      </c>
      <c r="O16" s="247">
        <v>13434</v>
      </c>
      <c r="P16" s="247">
        <f>47380-N16</f>
        <v>23890</v>
      </c>
      <c r="Q16" s="247">
        <v>3136</v>
      </c>
      <c r="R16" s="246">
        <f t="shared" si="2"/>
        <v>63950</v>
      </c>
      <c r="S16" s="249">
        <v>11580</v>
      </c>
      <c r="T16" s="247">
        <v>41647</v>
      </c>
      <c r="U16" s="247">
        <f>112420-S16</f>
        <v>100840</v>
      </c>
      <c r="V16" s="247">
        <v>784</v>
      </c>
      <c r="W16" s="246">
        <f t="shared" si="3"/>
        <v>154851</v>
      </c>
      <c r="X16" s="249">
        <v>56800</v>
      </c>
      <c r="Y16" s="247">
        <v>150901</v>
      </c>
      <c r="Z16" s="247">
        <f>61600-X16</f>
        <v>4800</v>
      </c>
      <c r="AA16" s="247">
        <v>312</v>
      </c>
      <c r="AB16" s="247">
        <v>14717</v>
      </c>
      <c r="AC16" s="246">
        <f t="shared" si="4"/>
        <v>227530</v>
      </c>
      <c r="AD16" s="425">
        <f t="shared" si="6"/>
        <v>1461460</v>
      </c>
      <c r="AE16" s="426">
        <f t="shared" si="7"/>
        <v>299650</v>
      </c>
      <c r="AF16" s="426">
        <f>D16+P16+U16+Z16</f>
        <v>155060</v>
      </c>
      <c r="AG16" s="427">
        <f t="shared" si="9"/>
        <v>1959845</v>
      </c>
      <c r="AH16" s="428">
        <f t="shared" si="10"/>
        <v>900315</v>
      </c>
      <c r="AI16" s="245">
        <f t="shared" si="5"/>
        <v>4776330</v>
      </c>
    </row>
    <row r="17" spans="1:35" s="207" customFormat="1" ht="13">
      <c r="A17" s="250">
        <v>2010</v>
      </c>
      <c r="B17" s="249">
        <v>609170</v>
      </c>
      <c r="C17" s="247">
        <v>64342</v>
      </c>
      <c r="D17" s="247">
        <f>645900-B17</f>
        <v>36730</v>
      </c>
      <c r="E17" s="247">
        <v>1851658</v>
      </c>
      <c r="F17" s="247">
        <v>595737</v>
      </c>
      <c r="G17" s="246">
        <f t="shared" si="0"/>
        <v>3157637</v>
      </c>
      <c r="H17" s="249">
        <v>855460</v>
      </c>
      <c r="I17" s="247">
        <v>25685</v>
      </c>
      <c r="J17" s="247">
        <f>856130-H17</f>
        <v>670</v>
      </c>
      <c r="K17" s="247">
        <v>144686</v>
      </c>
      <c r="L17" s="247">
        <v>418690</v>
      </c>
      <c r="M17" s="246">
        <f t="shared" si="1"/>
        <v>1445191</v>
      </c>
      <c r="N17" s="249">
        <v>28500</v>
      </c>
      <c r="O17" s="247">
        <v>15011</v>
      </c>
      <c r="P17" s="247">
        <f>65730-N17</f>
        <v>37230</v>
      </c>
      <c r="Q17" s="247">
        <v>6110</v>
      </c>
      <c r="R17" s="246">
        <f t="shared" si="2"/>
        <v>86851</v>
      </c>
      <c r="S17" s="249">
        <v>11220</v>
      </c>
      <c r="T17" s="247">
        <v>44085</v>
      </c>
      <c r="U17" s="247">
        <f>213180-S17</f>
        <v>201960</v>
      </c>
      <c r="V17" s="247">
        <v>977</v>
      </c>
      <c r="W17" s="246">
        <f t="shared" si="3"/>
        <v>258242</v>
      </c>
      <c r="X17" s="249">
        <v>56060</v>
      </c>
      <c r="Y17" s="247">
        <v>162962</v>
      </c>
      <c r="Z17" s="247">
        <f>66970-X17</f>
        <v>10910</v>
      </c>
      <c r="AA17" s="247">
        <v>345</v>
      </c>
      <c r="AB17" s="247">
        <v>10658</v>
      </c>
      <c r="AC17" s="246">
        <f t="shared" si="4"/>
        <v>240935</v>
      </c>
      <c r="AD17" s="425">
        <f t="shared" si="6"/>
        <v>1560410</v>
      </c>
      <c r="AE17" s="426">
        <f t="shared" si="7"/>
        <v>312085</v>
      </c>
      <c r="AF17" s="426">
        <f t="shared" si="8"/>
        <v>287500</v>
      </c>
      <c r="AG17" s="427">
        <f t="shared" si="9"/>
        <v>1996689</v>
      </c>
      <c r="AH17" s="428">
        <f t="shared" si="10"/>
        <v>1032172</v>
      </c>
      <c r="AI17" s="245">
        <f t="shared" si="5"/>
        <v>5188856</v>
      </c>
    </row>
    <row r="18" spans="1:35" s="207" customFormat="1" ht="13">
      <c r="A18" s="250">
        <v>2011</v>
      </c>
      <c r="B18" s="249">
        <v>563500</v>
      </c>
      <c r="C18" s="247">
        <v>56868</v>
      </c>
      <c r="D18" s="248">
        <v>48693</v>
      </c>
      <c r="E18" s="247">
        <v>1199238</v>
      </c>
      <c r="F18" s="247">
        <v>576631</v>
      </c>
      <c r="G18" s="246">
        <f t="shared" si="0"/>
        <v>2444930</v>
      </c>
      <c r="H18" s="249">
        <v>882810</v>
      </c>
      <c r="I18" s="247">
        <v>14791</v>
      </c>
      <c r="J18" s="248">
        <v>0</v>
      </c>
      <c r="K18" s="247">
        <v>147605</v>
      </c>
      <c r="L18" s="247">
        <v>338518</v>
      </c>
      <c r="M18" s="246">
        <f t="shared" si="1"/>
        <v>1383724</v>
      </c>
      <c r="N18" s="249">
        <v>29430</v>
      </c>
      <c r="O18" s="247">
        <v>14005</v>
      </c>
      <c r="P18" s="248">
        <f>30904+6258+894+573</f>
        <v>38629</v>
      </c>
      <c r="Q18" s="247">
        <v>4108</v>
      </c>
      <c r="R18" s="246">
        <f t="shared" si="2"/>
        <v>86172</v>
      </c>
      <c r="S18" s="249">
        <v>8580</v>
      </c>
      <c r="T18" s="247">
        <v>38668</v>
      </c>
      <c r="U18" s="248">
        <f>14969+47081+29753+117607</f>
        <v>209410</v>
      </c>
      <c r="V18" s="247">
        <v>815</v>
      </c>
      <c r="W18" s="246">
        <f t="shared" si="3"/>
        <v>257473</v>
      </c>
      <c r="X18" s="249">
        <v>57060</v>
      </c>
      <c r="Y18" s="247">
        <v>214884</v>
      </c>
      <c r="Z18" s="248">
        <f>15187+190</f>
        <v>15377</v>
      </c>
      <c r="AA18" s="247">
        <v>378</v>
      </c>
      <c r="AB18" s="247">
        <v>14221</v>
      </c>
      <c r="AC18" s="246">
        <f t="shared" si="4"/>
        <v>301920</v>
      </c>
      <c r="AD18" s="425">
        <f t="shared" si="6"/>
        <v>1541380</v>
      </c>
      <c r="AE18" s="426">
        <f t="shared" si="7"/>
        <v>339216</v>
      </c>
      <c r="AF18" s="426">
        <f t="shared" si="8"/>
        <v>312109</v>
      </c>
      <c r="AG18" s="427">
        <f t="shared" si="9"/>
        <v>1347221</v>
      </c>
      <c r="AH18" s="428">
        <f t="shared" si="10"/>
        <v>934293</v>
      </c>
      <c r="AI18" s="245">
        <f>SUM(G18+M18+R18+W18+AC18)</f>
        <v>4474219</v>
      </c>
    </row>
    <row r="19" spans="1:35" s="207" customFormat="1" ht="13">
      <c r="A19" s="255">
        <v>2012</v>
      </c>
      <c r="B19" s="256">
        <v>633390</v>
      </c>
      <c r="C19" s="257">
        <v>103001</v>
      </c>
      <c r="D19" s="258">
        <v>51930</v>
      </c>
      <c r="E19" s="257">
        <v>1641499</v>
      </c>
      <c r="F19" s="257">
        <v>654406</v>
      </c>
      <c r="G19" s="264">
        <f t="shared" si="0"/>
        <v>3084226</v>
      </c>
      <c r="H19" s="256">
        <v>942920</v>
      </c>
      <c r="I19" s="257">
        <v>22532</v>
      </c>
      <c r="J19" s="258">
        <v>710</v>
      </c>
      <c r="K19" s="257">
        <v>137771</v>
      </c>
      <c r="L19" s="257">
        <v>233255</v>
      </c>
      <c r="M19" s="246">
        <f t="shared" ref="M19:M20" si="11">SUM(H19:L19)</f>
        <v>1337188</v>
      </c>
      <c r="N19" s="256">
        <v>24690</v>
      </c>
      <c r="O19" s="257">
        <v>12156</v>
      </c>
      <c r="P19" s="258">
        <v>37450</v>
      </c>
      <c r="Q19" s="257">
        <v>4824</v>
      </c>
      <c r="R19" s="246">
        <f t="shared" si="2"/>
        <v>79120</v>
      </c>
      <c r="S19" s="256">
        <v>9630</v>
      </c>
      <c r="T19" s="257">
        <v>41490</v>
      </c>
      <c r="U19" s="258">
        <v>200340</v>
      </c>
      <c r="V19" s="257">
        <v>911</v>
      </c>
      <c r="W19" s="246">
        <f t="shared" ref="W19:W20" si="12">SUM(S19:V19)</f>
        <v>252371</v>
      </c>
      <c r="X19" s="256">
        <v>61040</v>
      </c>
      <c r="Y19" s="257">
        <v>133152</v>
      </c>
      <c r="Z19" s="258">
        <v>15640</v>
      </c>
      <c r="AA19" s="257">
        <v>284</v>
      </c>
      <c r="AB19" s="257">
        <v>12404</v>
      </c>
      <c r="AC19" s="246">
        <f t="shared" ref="AC19:AC20" si="13">SUM(X19:AB19)</f>
        <v>222520</v>
      </c>
      <c r="AD19" s="425">
        <f t="shared" si="6"/>
        <v>1671670</v>
      </c>
      <c r="AE19" s="426">
        <f t="shared" si="7"/>
        <v>312331</v>
      </c>
      <c r="AF19" s="426">
        <f t="shared" si="8"/>
        <v>306070</v>
      </c>
      <c r="AG19" s="427">
        <f t="shared" si="9"/>
        <v>1779554</v>
      </c>
      <c r="AH19" s="428">
        <f t="shared" si="10"/>
        <v>905800</v>
      </c>
      <c r="AI19" s="245">
        <f t="shared" ref="AI19:AI20" si="14">SUM(G19+M19+R19+W19+AC19)</f>
        <v>4975425</v>
      </c>
    </row>
    <row r="20" spans="1:35" s="207" customFormat="1" thickBot="1">
      <c r="A20" s="244">
        <v>2013</v>
      </c>
      <c r="B20" s="243">
        <v>658960</v>
      </c>
      <c r="C20" s="261">
        <v>94092</v>
      </c>
      <c r="D20" s="261">
        <v>46227</v>
      </c>
      <c r="E20" s="261">
        <v>1614781</v>
      </c>
      <c r="F20" s="261">
        <v>678666</v>
      </c>
      <c r="G20" s="265">
        <f t="shared" si="0"/>
        <v>3092726</v>
      </c>
      <c r="H20" s="262">
        <v>798090</v>
      </c>
      <c r="I20" s="261">
        <v>13826</v>
      </c>
      <c r="J20" s="261">
        <v>0</v>
      </c>
      <c r="K20" s="261">
        <v>101622</v>
      </c>
      <c r="L20" s="261">
        <v>341656</v>
      </c>
      <c r="M20" s="266">
        <f t="shared" si="11"/>
        <v>1255194</v>
      </c>
      <c r="N20" s="262">
        <v>28190</v>
      </c>
      <c r="O20" s="263">
        <v>10700</v>
      </c>
      <c r="P20" s="263">
        <v>35826</v>
      </c>
      <c r="Q20" s="263">
        <v>4046</v>
      </c>
      <c r="R20" s="266">
        <f>SUM(N20:Q20)</f>
        <v>78762</v>
      </c>
      <c r="S20" s="262">
        <v>8780</v>
      </c>
      <c r="T20" s="263">
        <v>39154</v>
      </c>
      <c r="U20" s="263">
        <v>191281</v>
      </c>
      <c r="V20" s="263">
        <v>910</v>
      </c>
      <c r="W20" s="266">
        <f t="shared" si="12"/>
        <v>240125</v>
      </c>
      <c r="X20" s="262">
        <v>57320</v>
      </c>
      <c r="Y20" s="263">
        <v>135600</v>
      </c>
      <c r="Z20" s="263">
        <v>24855</v>
      </c>
      <c r="AA20" s="263">
        <v>192</v>
      </c>
      <c r="AB20" s="263">
        <v>13432</v>
      </c>
      <c r="AC20" s="266">
        <f t="shared" si="13"/>
        <v>231399</v>
      </c>
      <c r="AD20" s="429">
        <f t="shared" si="6"/>
        <v>1551340</v>
      </c>
      <c r="AE20" s="430">
        <f t="shared" si="7"/>
        <v>293372</v>
      </c>
      <c r="AF20" s="430">
        <f t="shared" si="8"/>
        <v>298189</v>
      </c>
      <c r="AG20" s="431">
        <f t="shared" si="9"/>
        <v>1716595</v>
      </c>
      <c r="AH20" s="432">
        <f t="shared" si="10"/>
        <v>1038710</v>
      </c>
      <c r="AI20" s="245">
        <f t="shared" si="14"/>
        <v>4898206</v>
      </c>
    </row>
    <row r="21" spans="1:35">
      <c r="A21" s="259"/>
    </row>
    <row r="37" spans="1:1">
      <c r="A37" s="242" t="s">
        <v>197</v>
      </c>
    </row>
    <row r="38" spans="1:1">
      <c r="A38" s="242" t="s">
        <v>230</v>
      </c>
    </row>
    <row r="39" spans="1:1">
      <c r="A39" s="241" t="s">
        <v>229</v>
      </c>
    </row>
    <row r="40" spans="1:1">
      <c r="A40" s="241" t="s">
        <v>228</v>
      </c>
    </row>
    <row r="41" spans="1:1">
      <c r="A41" s="241" t="s">
        <v>227</v>
      </c>
    </row>
    <row r="42" spans="1:1">
      <c r="A42" s="241" t="s">
        <v>226</v>
      </c>
    </row>
    <row r="43" spans="1:1">
      <c r="A43" s="241" t="s">
        <v>415</v>
      </c>
    </row>
    <row r="44" spans="1:1">
      <c r="A44" s="242" t="s">
        <v>225</v>
      </c>
    </row>
    <row r="45" spans="1:1">
      <c r="A45" s="240" t="s">
        <v>224</v>
      </c>
    </row>
    <row r="46" spans="1:1">
      <c r="A46" s="260" t="s">
        <v>240</v>
      </c>
    </row>
    <row r="47" spans="1:1">
      <c r="A47" s="260" t="s">
        <v>241</v>
      </c>
    </row>
    <row r="48" spans="1:1">
      <c r="A48" s="260" t="s">
        <v>246</v>
      </c>
    </row>
    <row r="49" spans="1:1">
      <c r="A49" s="260" t="s">
        <v>245</v>
      </c>
    </row>
    <row r="50" spans="1:1">
      <c r="A50" s="242" t="s">
        <v>238</v>
      </c>
    </row>
    <row r="51" spans="1:1">
      <c r="A51" s="241" t="s">
        <v>239</v>
      </c>
    </row>
    <row r="52" spans="1:1">
      <c r="A52" s="242" t="s">
        <v>414</v>
      </c>
    </row>
  </sheetData>
  <mergeCells count="7">
    <mergeCell ref="AI2:AI3"/>
    <mergeCell ref="B2:G2"/>
    <mergeCell ref="H2:M2"/>
    <mergeCell ref="N2:R2"/>
    <mergeCell ref="S2:W2"/>
    <mergeCell ref="X2:AC2"/>
    <mergeCell ref="AD2:AH2"/>
  </mergeCells>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32"/>
  <sheetViews>
    <sheetView zoomScale="80" zoomScaleNormal="80" zoomScalePageLayoutView="80" workbookViewId="0">
      <pane ySplit="9" topLeftCell="A10" activePane="bottomLeft" state="frozen"/>
      <selection pane="bottomLeft"/>
    </sheetView>
  </sheetViews>
  <sheetFormatPr baseColWidth="10" defaultColWidth="8.83203125" defaultRowHeight="15" x14ac:dyDescent="0"/>
  <cols>
    <col min="1" max="1" width="14.6640625" style="501" customWidth="1"/>
    <col min="2" max="2" width="15" style="501" customWidth="1"/>
    <col min="3" max="3" width="10.83203125" style="501" customWidth="1"/>
    <col min="4" max="4" width="27.33203125" style="501" customWidth="1"/>
    <col min="5" max="6" width="11.1640625" customWidth="1"/>
    <col min="7" max="8" width="15.5" style="501" customWidth="1"/>
    <col min="9" max="9" width="10.83203125" style="500" customWidth="1"/>
    <col min="10" max="10" width="11.1640625" customWidth="1"/>
    <col min="11" max="11" width="13.83203125" customWidth="1"/>
    <col min="12" max="250" width="11.1640625" customWidth="1"/>
  </cols>
  <sheetData>
    <row r="1" spans="1:13">
      <c r="A1" s="501" t="s">
        <v>1266</v>
      </c>
    </row>
    <row r="2" spans="1:13">
      <c r="A2" s="501" t="s">
        <v>1267</v>
      </c>
      <c r="L2" s="1" t="s">
        <v>1270</v>
      </c>
    </row>
    <row r="3" spans="1:13">
      <c r="A3" s="501" t="s">
        <v>1271</v>
      </c>
    </row>
    <row r="4" spans="1:13">
      <c r="A4" s="501" t="s">
        <v>1268</v>
      </c>
      <c r="L4" s="541"/>
      <c r="M4" s="501" t="s">
        <v>1269</v>
      </c>
    </row>
    <row r="5" spans="1:13">
      <c r="A5" s="501" t="s">
        <v>1272</v>
      </c>
      <c r="L5" s="543"/>
      <c r="M5" s="501" t="s">
        <v>1310</v>
      </c>
    </row>
    <row r="6" spans="1:13">
      <c r="A6" s="501" t="s">
        <v>1273</v>
      </c>
      <c r="L6" s="550"/>
      <c r="M6" s="501" t="s">
        <v>1312</v>
      </c>
    </row>
    <row r="7" spans="1:13">
      <c r="A7" s="501" t="s">
        <v>1274</v>
      </c>
      <c r="G7" s="516"/>
      <c r="H7" s="516"/>
      <c r="I7" s="522"/>
    </row>
    <row r="8" spans="1:13">
      <c r="G8" s="516"/>
      <c r="H8" s="516"/>
      <c r="I8" s="522"/>
    </row>
    <row r="9" spans="1:13" ht="69.5" customHeight="1">
      <c r="A9" s="529" t="s">
        <v>1066</v>
      </c>
      <c r="B9" s="529" t="s">
        <v>1065</v>
      </c>
      <c r="C9" s="529" t="s">
        <v>1064</v>
      </c>
      <c r="D9" s="529" t="s">
        <v>1063</v>
      </c>
      <c r="E9" s="529" t="s">
        <v>1062</v>
      </c>
      <c r="F9" s="529" t="s">
        <v>1061</v>
      </c>
      <c r="G9" s="538" t="s">
        <v>1060</v>
      </c>
      <c r="H9" s="539" t="s">
        <v>1059</v>
      </c>
      <c r="I9" s="540" t="s">
        <v>1058</v>
      </c>
    </row>
    <row r="10" spans="1:13">
      <c r="A10" s="501" t="s">
        <v>300</v>
      </c>
      <c r="B10" s="501" t="s">
        <v>954</v>
      </c>
      <c r="C10" s="501" t="s">
        <v>654</v>
      </c>
      <c r="D10" s="501" t="s">
        <v>1050</v>
      </c>
      <c r="E10" s="504" t="s">
        <v>655</v>
      </c>
      <c r="F10" s="504" t="s">
        <v>1057</v>
      </c>
      <c r="G10" s="523">
        <v>-4.0277776088508591E-2</v>
      </c>
      <c r="H10" s="523">
        <v>-5.7142857142857141E-2</v>
      </c>
      <c r="I10" s="514">
        <v>0</v>
      </c>
    </row>
    <row r="11" spans="1:13">
      <c r="A11" s="501" t="s">
        <v>300</v>
      </c>
      <c r="B11" s="501" t="s">
        <v>954</v>
      </c>
      <c r="C11" s="501" t="s">
        <v>654</v>
      </c>
      <c r="D11" s="501" t="s">
        <v>1048</v>
      </c>
      <c r="E11" s="504" t="s">
        <v>655</v>
      </c>
      <c r="F11" s="504" t="s">
        <v>1056</v>
      </c>
      <c r="G11" s="523">
        <v>-3.28352315991765E-2</v>
      </c>
      <c r="H11" s="523">
        <v>-5.7142857142857134E-2</v>
      </c>
      <c r="I11" s="514">
        <v>0</v>
      </c>
    </row>
    <row r="12" spans="1:13">
      <c r="A12" s="501" t="s">
        <v>300</v>
      </c>
      <c r="B12" s="501" t="s">
        <v>954</v>
      </c>
      <c r="C12" s="501" t="s">
        <v>654</v>
      </c>
      <c r="D12" s="501" t="s">
        <v>1050</v>
      </c>
      <c r="E12" s="504" t="s">
        <v>652</v>
      </c>
      <c r="F12" s="504" t="s">
        <v>1055</v>
      </c>
      <c r="G12" s="523">
        <v>0.19697998886592066</v>
      </c>
      <c r="H12" s="533">
        <v>0</v>
      </c>
      <c r="I12" s="528">
        <v>0</v>
      </c>
    </row>
    <row r="13" spans="1:13">
      <c r="A13" s="501" t="s">
        <v>300</v>
      </c>
      <c r="B13" s="501" t="s">
        <v>954</v>
      </c>
      <c r="C13" s="501" t="s">
        <v>654</v>
      </c>
      <c r="D13" s="501" t="s">
        <v>1048</v>
      </c>
      <c r="E13" s="504" t="s">
        <v>652</v>
      </c>
      <c r="F13" s="504" t="s">
        <v>1054</v>
      </c>
      <c r="G13" s="523">
        <v>-3.7202374483035608E-2</v>
      </c>
      <c r="H13" s="533">
        <v>0</v>
      </c>
      <c r="I13" s="528">
        <v>0</v>
      </c>
    </row>
    <row r="14" spans="1:13">
      <c r="A14" s="501" t="s">
        <v>300</v>
      </c>
      <c r="B14" s="501" t="s">
        <v>936</v>
      </c>
      <c r="C14" s="501" t="s">
        <v>713</v>
      </c>
      <c r="D14" s="501" t="s">
        <v>967</v>
      </c>
      <c r="E14" s="504" t="s">
        <v>68</v>
      </c>
      <c r="F14" s="504" t="s">
        <v>1053</v>
      </c>
      <c r="G14" s="523">
        <v>-4.2820879888524101E-2</v>
      </c>
      <c r="H14" s="523">
        <v>-8.1447963800904979E-2</v>
      </c>
      <c r="I14" s="514">
        <v>0</v>
      </c>
    </row>
    <row r="15" spans="1:13">
      <c r="A15" s="501" t="s">
        <v>300</v>
      </c>
      <c r="B15" s="501" t="s">
        <v>936</v>
      </c>
      <c r="C15" s="501" t="s">
        <v>713</v>
      </c>
      <c r="D15" s="501" t="s">
        <v>979</v>
      </c>
      <c r="E15" s="504" t="s">
        <v>655</v>
      </c>
      <c r="F15" s="504" t="s">
        <v>1052</v>
      </c>
      <c r="G15" s="523">
        <v>-3.9472068399250895E-2</v>
      </c>
      <c r="H15" s="523">
        <v>-8.9548322822654403E-2</v>
      </c>
      <c r="I15" s="514">
        <v>0</v>
      </c>
    </row>
    <row r="16" spans="1:13">
      <c r="A16" s="501" t="s">
        <v>300</v>
      </c>
      <c r="B16" s="501" t="s">
        <v>936</v>
      </c>
      <c r="C16" s="501" t="s">
        <v>713</v>
      </c>
      <c r="D16" s="501" t="s">
        <v>956</v>
      </c>
      <c r="E16" s="504" t="s">
        <v>68</v>
      </c>
      <c r="F16" s="504" t="s">
        <v>1051</v>
      </c>
      <c r="G16" s="523">
        <v>-6.9391968688248803E-2</v>
      </c>
      <c r="H16" s="523">
        <v>-6.985186046034686E-2</v>
      </c>
      <c r="I16" s="514">
        <v>0</v>
      </c>
    </row>
    <row r="17" spans="1:9">
      <c r="A17" s="501" t="s">
        <v>300</v>
      </c>
      <c r="B17" s="501" t="s">
        <v>954</v>
      </c>
      <c r="C17" s="501" t="s">
        <v>713</v>
      </c>
      <c r="D17" s="501" t="s">
        <v>1050</v>
      </c>
      <c r="E17" s="504" t="s">
        <v>68</v>
      </c>
      <c r="F17" s="504" t="s">
        <v>1049</v>
      </c>
      <c r="G17" s="523">
        <v>4.0839022581940623E-2</v>
      </c>
      <c r="H17" s="523">
        <v>0</v>
      </c>
      <c r="I17" s="514">
        <v>0</v>
      </c>
    </row>
    <row r="18" spans="1:9">
      <c r="A18" s="501" t="s">
        <v>300</v>
      </c>
      <c r="B18" s="501" t="s">
        <v>954</v>
      </c>
      <c r="C18" s="501" t="s">
        <v>713</v>
      </c>
      <c r="D18" s="501" t="s">
        <v>1048</v>
      </c>
      <c r="E18" s="504" t="s">
        <v>68</v>
      </c>
      <c r="F18" s="504" t="s">
        <v>1047</v>
      </c>
      <c r="G18" s="523">
        <v>2.4040010981534313E-2</v>
      </c>
      <c r="H18" s="523">
        <v>0</v>
      </c>
      <c r="I18" s="514">
        <v>0</v>
      </c>
    </row>
    <row r="19" spans="1:9">
      <c r="A19" s="501" t="s">
        <v>300</v>
      </c>
      <c r="B19" s="501" t="s">
        <v>939</v>
      </c>
      <c r="C19" s="501" t="s">
        <v>713</v>
      </c>
      <c r="D19" s="501" t="s">
        <v>974</v>
      </c>
      <c r="E19" s="504" t="s">
        <v>68</v>
      </c>
      <c r="F19" s="504" t="s">
        <v>1046</v>
      </c>
      <c r="G19" s="523">
        <v>-4.8421745238512996E-2</v>
      </c>
      <c r="H19" s="523">
        <v>-1.4090343970161626E-2</v>
      </c>
      <c r="I19" s="514">
        <v>0</v>
      </c>
    </row>
    <row r="20" spans="1:9">
      <c r="A20" s="501" t="s">
        <v>300</v>
      </c>
      <c r="B20" s="501" t="s">
        <v>951</v>
      </c>
      <c r="C20" s="501" t="s">
        <v>713</v>
      </c>
      <c r="D20" s="501" t="s">
        <v>1045</v>
      </c>
      <c r="E20" s="504" t="s">
        <v>68</v>
      </c>
      <c r="F20" s="504" t="s">
        <v>1044</v>
      </c>
      <c r="G20" s="523">
        <v>-6.9280961762705734E-2</v>
      </c>
      <c r="H20" s="523">
        <v>-6.7995953846417614E-2</v>
      </c>
      <c r="I20" s="514">
        <v>0</v>
      </c>
    </row>
    <row r="21" spans="1:9">
      <c r="A21" s="501" t="s">
        <v>300</v>
      </c>
      <c r="B21" s="501" t="s">
        <v>1026</v>
      </c>
      <c r="C21" s="501" t="s">
        <v>713</v>
      </c>
      <c r="D21" s="501" t="s">
        <v>1043</v>
      </c>
      <c r="E21" s="504" t="s">
        <v>68</v>
      </c>
      <c r="F21" s="504" t="s">
        <v>1042</v>
      </c>
      <c r="G21" s="523">
        <v>-4.3094309422588385E-2</v>
      </c>
      <c r="H21" s="523">
        <v>2.8826856413063318E-2</v>
      </c>
      <c r="I21" s="514">
        <v>0</v>
      </c>
    </row>
    <row r="22" spans="1:9">
      <c r="A22" s="501" t="s">
        <v>300</v>
      </c>
      <c r="B22" s="501" t="s">
        <v>951</v>
      </c>
      <c r="C22" s="501" t="s">
        <v>713</v>
      </c>
      <c r="D22" s="501" t="s">
        <v>1041</v>
      </c>
      <c r="E22" s="504" t="s">
        <v>68</v>
      </c>
      <c r="F22" s="504" t="s">
        <v>1040</v>
      </c>
      <c r="G22" s="523">
        <v>2.0337250806306611E-3</v>
      </c>
      <c r="H22" s="523">
        <v>1.8051636075285114E-2</v>
      </c>
      <c r="I22" s="514">
        <v>0</v>
      </c>
    </row>
    <row r="23" spans="1:9">
      <c r="A23" s="501" t="s">
        <v>300</v>
      </c>
      <c r="B23" s="501" t="s">
        <v>951</v>
      </c>
      <c r="C23" s="501" t="s">
        <v>713</v>
      </c>
      <c r="D23" s="501" t="s">
        <v>1039</v>
      </c>
      <c r="E23" s="504" t="s">
        <v>68</v>
      </c>
      <c r="F23" s="504" t="s">
        <v>1038</v>
      </c>
      <c r="G23" s="523">
        <v>-6.5088760113720945E-2</v>
      </c>
      <c r="H23" s="523">
        <v>-6.9564775887405131E-2</v>
      </c>
      <c r="I23" s="514">
        <v>0</v>
      </c>
    </row>
    <row r="24" spans="1:9">
      <c r="A24" s="501" t="s">
        <v>300</v>
      </c>
      <c r="B24" s="501" t="s">
        <v>951</v>
      </c>
      <c r="C24" s="501" t="s">
        <v>713</v>
      </c>
      <c r="D24" s="501" t="s">
        <v>1037</v>
      </c>
      <c r="E24" s="504" t="s">
        <v>68</v>
      </c>
      <c r="F24" s="504" t="s">
        <v>1036</v>
      </c>
      <c r="G24" s="523">
        <v>-3.8502557491885176E-3</v>
      </c>
      <c r="H24" s="523">
        <v>-3.089654545247866E-2</v>
      </c>
      <c r="I24" s="514">
        <v>0</v>
      </c>
    </row>
    <row r="25" spans="1:9">
      <c r="A25" s="501" t="s">
        <v>300</v>
      </c>
      <c r="B25" s="501" t="s">
        <v>939</v>
      </c>
      <c r="C25" s="501" t="s">
        <v>577</v>
      </c>
      <c r="D25" s="501" t="s">
        <v>1035</v>
      </c>
      <c r="E25" s="504" t="s">
        <v>68</v>
      </c>
      <c r="F25" s="504" t="s">
        <v>1033</v>
      </c>
      <c r="G25" s="523">
        <v>-4.2469493399614451E-3</v>
      </c>
      <c r="H25" s="523">
        <v>-7.9865931092005057E-2</v>
      </c>
      <c r="I25" s="514">
        <v>0</v>
      </c>
    </row>
    <row r="26" spans="1:9">
      <c r="A26" s="501" t="s">
        <v>300</v>
      </c>
      <c r="B26" s="501" t="s">
        <v>939</v>
      </c>
      <c r="C26" s="501" t="s">
        <v>577</v>
      </c>
      <c r="D26" s="501" t="s">
        <v>1034</v>
      </c>
      <c r="E26" s="504" t="s">
        <v>68</v>
      </c>
      <c r="F26" s="504" t="s">
        <v>1033</v>
      </c>
      <c r="G26" s="523">
        <v>-2.433912711953343E-2</v>
      </c>
      <c r="H26" s="523">
        <v>-3.6692328211813278E-2</v>
      </c>
      <c r="I26" s="514">
        <v>0</v>
      </c>
    </row>
    <row r="27" spans="1:9">
      <c r="A27" s="501" t="s">
        <v>300</v>
      </c>
      <c r="B27" s="501" t="s">
        <v>939</v>
      </c>
      <c r="C27" s="501" t="s">
        <v>577</v>
      </c>
      <c r="D27" s="501" t="s">
        <v>1032</v>
      </c>
      <c r="E27" s="504" t="s">
        <v>68</v>
      </c>
      <c r="F27" s="504" t="s">
        <v>1031</v>
      </c>
      <c r="G27" s="523">
        <v>-6.0058500106278424E-2</v>
      </c>
      <c r="H27" s="523">
        <v>-5.3451633862643629E-2</v>
      </c>
      <c r="I27" s="514">
        <v>0</v>
      </c>
    </row>
    <row r="28" spans="1:9">
      <c r="A28" s="501" t="s">
        <v>300</v>
      </c>
      <c r="B28" s="501" t="s">
        <v>939</v>
      </c>
      <c r="C28" s="501" t="s">
        <v>577</v>
      </c>
      <c r="D28" s="501" t="s">
        <v>1030</v>
      </c>
      <c r="E28" s="504" t="s">
        <v>68</v>
      </c>
      <c r="F28" s="504" t="s">
        <v>1029</v>
      </c>
      <c r="G28" s="523">
        <v>0.11702365050607964</v>
      </c>
      <c r="H28" s="523">
        <v>-4.4035407410711928E-2</v>
      </c>
      <c r="I28" s="514">
        <v>0</v>
      </c>
    </row>
    <row r="29" spans="1:9">
      <c r="A29" s="501" t="s">
        <v>300</v>
      </c>
      <c r="B29" s="501" t="s">
        <v>1026</v>
      </c>
      <c r="C29" s="501" t="s">
        <v>577</v>
      </c>
      <c r="D29" s="501" t="s">
        <v>1028</v>
      </c>
      <c r="E29" s="504" t="s">
        <v>68</v>
      </c>
      <c r="F29" s="504" t="s">
        <v>1027</v>
      </c>
      <c r="G29" s="523">
        <v>-2.4446754304389438E-2</v>
      </c>
      <c r="H29" s="523">
        <v>0.23708206686930103</v>
      </c>
      <c r="I29" s="514">
        <v>0</v>
      </c>
    </row>
    <row r="30" spans="1:9">
      <c r="A30" s="501" t="s">
        <v>300</v>
      </c>
      <c r="B30" s="501" t="s">
        <v>1026</v>
      </c>
      <c r="C30" s="501" t="s">
        <v>577</v>
      </c>
      <c r="D30" s="524" t="s">
        <v>1025</v>
      </c>
      <c r="E30" s="504" t="s">
        <v>68</v>
      </c>
      <c r="F30" s="504" t="s">
        <v>1024</v>
      </c>
      <c r="G30" s="523">
        <v>0.10909423371632034</v>
      </c>
      <c r="H30" s="523">
        <v>0.23708206686930103</v>
      </c>
      <c r="I30" s="514">
        <v>0</v>
      </c>
    </row>
    <row r="31" spans="1:9">
      <c r="A31" s="501" t="s">
        <v>300</v>
      </c>
      <c r="B31" s="501" t="s">
        <v>948</v>
      </c>
      <c r="C31" s="501" t="s">
        <v>654</v>
      </c>
      <c r="D31" s="501" t="s">
        <v>999</v>
      </c>
      <c r="E31" s="504" t="s">
        <v>652</v>
      </c>
      <c r="F31" s="504" t="s">
        <v>1023</v>
      </c>
      <c r="G31" s="523">
        <v>0.41938618625010154</v>
      </c>
      <c r="H31" s="534">
        <v>-4.7750029691922033E-2</v>
      </c>
      <c r="I31" s="527">
        <v>3.0000000000000001E-6</v>
      </c>
    </row>
    <row r="32" spans="1:9">
      <c r="A32" s="501" t="s">
        <v>300</v>
      </c>
      <c r="B32" s="501" t="s">
        <v>948</v>
      </c>
      <c r="C32" s="501" t="s">
        <v>654</v>
      </c>
      <c r="D32" s="501" t="s">
        <v>997</v>
      </c>
      <c r="E32" s="504" t="s">
        <v>652</v>
      </c>
      <c r="F32" s="504" t="s">
        <v>1022</v>
      </c>
      <c r="G32" s="523">
        <v>-2.6732771785696448E-2</v>
      </c>
      <c r="H32" s="534">
        <v>-4.7750029691922033E-2</v>
      </c>
      <c r="I32" s="527">
        <v>3.0000000000000001E-6</v>
      </c>
    </row>
    <row r="33" spans="1:9">
      <c r="A33" s="501" t="s">
        <v>300</v>
      </c>
      <c r="B33" s="501" t="s">
        <v>948</v>
      </c>
      <c r="C33" s="501" t="s">
        <v>654</v>
      </c>
      <c r="D33" s="501" t="s">
        <v>995</v>
      </c>
      <c r="E33" s="504" t="s">
        <v>652</v>
      </c>
      <c r="F33" s="504" t="s">
        <v>1021</v>
      </c>
      <c r="G33" s="523">
        <v>-8.3188740699595753E-2</v>
      </c>
      <c r="H33" s="534">
        <v>-4.7750029691922033E-2</v>
      </c>
      <c r="I33" s="527">
        <v>3.0000000000000001E-6</v>
      </c>
    </row>
    <row r="34" spans="1:9">
      <c r="A34" s="501" t="s">
        <v>300</v>
      </c>
      <c r="B34" s="501" t="s">
        <v>948</v>
      </c>
      <c r="C34" s="501" t="s">
        <v>654</v>
      </c>
      <c r="D34" s="501" t="s">
        <v>993</v>
      </c>
      <c r="E34" s="504" t="s">
        <v>652</v>
      </c>
      <c r="F34" s="504" t="s">
        <v>1020</v>
      </c>
      <c r="G34" s="523">
        <v>-5.5876022970181578E-2</v>
      </c>
      <c r="H34" s="534">
        <v>-4.7750029691922033E-2</v>
      </c>
      <c r="I34" s="527">
        <v>3.0000000000000001E-6</v>
      </c>
    </row>
    <row r="35" spans="1:9">
      <c r="A35" s="501" t="s">
        <v>300</v>
      </c>
      <c r="B35" s="501" t="s">
        <v>948</v>
      </c>
      <c r="C35" s="501" t="s">
        <v>654</v>
      </c>
      <c r="D35" s="501" t="s">
        <v>991</v>
      </c>
      <c r="E35" s="504" t="s">
        <v>652</v>
      </c>
      <c r="F35" s="504" t="s">
        <v>1019</v>
      </c>
      <c r="G35" s="523">
        <v>7.0849919334724135E-2</v>
      </c>
      <c r="H35" s="534">
        <v>-4.7750029691922033E-2</v>
      </c>
      <c r="I35" s="527">
        <v>3.0000000000000001E-6</v>
      </c>
    </row>
    <row r="36" spans="1:9">
      <c r="A36" s="501" t="s">
        <v>300</v>
      </c>
      <c r="B36" s="501" t="s">
        <v>948</v>
      </c>
      <c r="C36" s="501" t="s">
        <v>654</v>
      </c>
      <c r="D36" s="501" t="s">
        <v>989</v>
      </c>
      <c r="E36" s="504" t="s">
        <v>652</v>
      </c>
      <c r="F36" s="504" t="s">
        <v>1018</v>
      </c>
      <c r="G36" s="523">
        <v>-5.3735822208446665E-2</v>
      </c>
      <c r="H36" s="534">
        <v>-4.7750029691922033E-2</v>
      </c>
      <c r="I36" s="527">
        <v>3.0000000000000001E-6</v>
      </c>
    </row>
    <row r="37" spans="1:9">
      <c r="A37" s="501" t="s">
        <v>300</v>
      </c>
      <c r="B37" s="501" t="s">
        <v>948</v>
      </c>
      <c r="C37" s="501" t="s">
        <v>654</v>
      </c>
      <c r="D37" s="501" t="s">
        <v>987</v>
      </c>
      <c r="E37" s="504" t="s">
        <v>652</v>
      </c>
      <c r="F37" s="504" t="s">
        <v>1017</v>
      </c>
      <c r="G37" s="523">
        <v>-3.9222399349503029E-2</v>
      </c>
      <c r="H37" s="534">
        <v>-4.7750029691922033E-2</v>
      </c>
      <c r="I37" s="527">
        <v>3.0000000000000001E-6</v>
      </c>
    </row>
    <row r="38" spans="1:9">
      <c r="A38" s="501" t="s">
        <v>300</v>
      </c>
      <c r="B38" s="501" t="s">
        <v>948</v>
      </c>
      <c r="C38" s="501" t="s">
        <v>654</v>
      </c>
      <c r="D38" s="501" t="s">
        <v>985</v>
      </c>
      <c r="E38" s="504" t="s">
        <v>652</v>
      </c>
      <c r="F38" s="504" t="s">
        <v>1016</v>
      </c>
      <c r="G38" s="523">
        <v>-4.5063595523109547E-2</v>
      </c>
      <c r="H38" s="534">
        <v>-4.7750029691922033E-2</v>
      </c>
      <c r="I38" s="527">
        <v>3.0000000000000001E-6</v>
      </c>
    </row>
    <row r="39" spans="1:9">
      <c r="A39" s="501" t="s">
        <v>300</v>
      </c>
      <c r="B39" s="501" t="s">
        <v>936</v>
      </c>
      <c r="C39" s="501" t="s">
        <v>713</v>
      </c>
      <c r="D39" s="501" t="s">
        <v>1001</v>
      </c>
      <c r="E39" s="504" t="s">
        <v>68</v>
      </c>
      <c r="F39" s="504" t="s">
        <v>1015</v>
      </c>
      <c r="G39" s="523">
        <v>-1.8162005085361425E-2</v>
      </c>
      <c r="H39" s="523">
        <v>-8.891586598960724E-2</v>
      </c>
      <c r="I39" s="502">
        <v>2.0000000000000002E-5</v>
      </c>
    </row>
    <row r="40" spans="1:9">
      <c r="A40" s="501" t="s">
        <v>300</v>
      </c>
      <c r="B40" s="501" t="s">
        <v>936</v>
      </c>
      <c r="C40" s="501" t="s">
        <v>654</v>
      </c>
      <c r="D40" s="501" t="s">
        <v>1001</v>
      </c>
      <c r="E40" s="504" t="s">
        <v>655</v>
      </c>
      <c r="F40" s="516" t="s">
        <v>1014</v>
      </c>
      <c r="G40" s="523">
        <v>-2.3346626930183505E-2</v>
      </c>
      <c r="H40" s="523">
        <v>-5.106491800803617E-2</v>
      </c>
      <c r="I40" s="525">
        <v>2.4000000000000001E-5</v>
      </c>
    </row>
    <row r="41" spans="1:9">
      <c r="A41" s="501" t="s">
        <v>300</v>
      </c>
      <c r="B41" s="501" t="s">
        <v>936</v>
      </c>
      <c r="C41" s="501" t="s">
        <v>713</v>
      </c>
      <c r="D41" s="501" t="s">
        <v>977</v>
      </c>
      <c r="E41" s="504" t="s">
        <v>68</v>
      </c>
      <c r="F41" s="504" t="s">
        <v>1013</v>
      </c>
      <c r="G41" s="523">
        <v>-7.6454381426706033E-2</v>
      </c>
      <c r="H41" s="523">
        <v>-8.7968498121489658E-2</v>
      </c>
      <c r="I41" s="502">
        <v>3.1999999999999999E-5</v>
      </c>
    </row>
    <row r="42" spans="1:9">
      <c r="A42" s="501" t="s">
        <v>300</v>
      </c>
      <c r="B42" s="501" t="s">
        <v>1012</v>
      </c>
      <c r="C42" s="501" t="s">
        <v>577</v>
      </c>
      <c r="D42" s="524" t="s">
        <v>1012</v>
      </c>
      <c r="E42" s="504" t="s">
        <v>68</v>
      </c>
      <c r="F42" s="504" t="s">
        <v>1011</v>
      </c>
      <c r="G42" s="523">
        <v>-3.6212652600572555E-2</v>
      </c>
      <c r="H42" s="523">
        <v>-6.4321055525013743E-2</v>
      </c>
      <c r="I42" s="525">
        <v>1.3799999999999999E-4</v>
      </c>
    </row>
    <row r="43" spans="1:9">
      <c r="A43" s="501" t="s">
        <v>300</v>
      </c>
      <c r="B43" s="501" t="s">
        <v>936</v>
      </c>
      <c r="C43" s="501" t="s">
        <v>713</v>
      </c>
      <c r="D43" s="501" t="s">
        <v>972</v>
      </c>
      <c r="E43" s="504" t="s">
        <v>68</v>
      </c>
      <c r="F43" s="504" t="s">
        <v>1010</v>
      </c>
      <c r="G43" s="523">
        <v>-8.0546201042579688E-2</v>
      </c>
      <c r="H43" s="523">
        <v>-8.6915398517067227E-2</v>
      </c>
      <c r="I43" s="502">
        <v>1.013E-3</v>
      </c>
    </row>
    <row r="44" spans="1:9">
      <c r="A44" s="501" t="s">
        <v>300</v>
      </c>
      <c r="B44" s="501" t="s">
        <v>936</v>
      </c>
      <c r="C44" s="501" t="s">
        <v>654</v>
      </c>
      <c r="D44" s="501" t="s">
        <v>956</v>
      </c>
      <c r="E44" s="504" t="s">
        <v>655</v>
      </c>
      <c r="F44" s="504" t="s">
        <v>1009</v>
      </c>
      <c r="G44" s="523">
        <v>-3.5210686810059615E-2</v>
      </c>
      <c r="H44" s="523">
        <v>-4.2002762935168851E-2</v>
      </c>
      <c r="I44" s="507">
        <v>2.8310000000000002E-3</v>
      </c>
    </row>
    <row r="45" spans="1:9">
      <c r="A45" s="501" t="s">
        <v>300</v>
      </c>
      <c r="B45" s="501" t="s">
        <v>936</v>
      </c>
      <c r="C45" s="501" t="s">
        <v>654</v>
      </c>
      <c r="D45" s="501" t="s">
        <v>977</v>
      </c>
      <c r="E45" s="504" t="s">
        <v>652</v>
      </c>
      <c r="F45" s="504" t="s">
        <v>1008</v>
      </c>
      <c r="G45" s="523">
        <v>-3.9395775079730688E-2</v>
      </c>
      <c r="H45" s="523">
        <v>-3.7239506004566096E-2</v>
      </c>
      <c r="I45" s="507">
        <v>3.712E-3</v>
      </c>
    </row>
    <row r="46" spans="1:9">
      <c r="A46" s="501" t="s">
        <v>300</v>
      </c>
      <c r="B46" s="501" t="s">
        <v>948</v>
      </c>
      <c r="C46" s="501" t="s">
        <v>654</v>
      </c>
      <c r="D46" s="501" t="s">
        <v>999</v>
      </c>
      <c r="E46" s="504" t="s">
        <v>655</v>
      </c>
      <c r="F46" s="504" t="s">
        <v>1007</v>
      </c>
      <c r="G46" s="523">
        <v>-4.5862373634383523E-2</v>
      </c>
      <c r="H46" s="534">
        <v>-4.6912762436935949E-2</v>
      </c>
      <c r="I46" s="526">
        <v>5.0769999999999999E-3</v>
      </c>
    </row>
    <row r="47" spans="1:9">
      <c r="A47" s="501" t="s">
        <v>300</v>
      </c>
      <c r="B47" s="501" t="s">
        <v>948</v>
      </c>
      <c r="C47" s="501" t="s">
        <v>654</v>
      </c>
      <c r="D47" s="501" t="s">
        <v>997</v>
      </c>
      <c r="E47" s="504" t="s">
        <v>655</v>
      </c>
      <c r="F47" s="504" t="s">
        <v>1006</v>
      </c>
      <c r="G47" s="523">
        <v>8.3663476867528702E-2</v>
      </c>
      <c r="H47" s="534">
        <v>-4.6912762436935949E-2</v>
      </c>
      <c r="I47" s="526">
        <v>5.0769999999999999E-3</v>
      </c>
    </row>
    <row r="48" spans="1:9">
      <c r="A48" s="501" t="s">
        <v>300</v>
      </c>
      <c r="B48" s="501" t="s">
        <v>948</v>
      </c>
      <c r="C48" s="501" t="s">
        <v>654</v>
      </c>
      <c r="D48" s="501" t="s">
        <v>995</v>
      </c>
      <c r="E48" s="504" t="s">
        <v>655</v>
      </c>
      <c r="F48" s="504" t="s">
        <v>1005</v>
      </c>
      <c r="G48" s="523">
        <v>-4.1669231667042596E-2</v>
      </c>
      <c r="H48" s="534">
        <v>-4.6912762436935949E-2</v>
      </c>
      <c r="I48" s="526">
        <v>5.0769999999999999E-3</v>
      </c>
    </row>
    <row r="49" spans="1:9">
      <c r="A49" s="501" t="s">
        <v>300</v>
      </c>
      <c r="B49" s="501" t="s">
        <v>948</v>
      </c>
      <c r="C49" s="501" t="s">
        <v>654</v>
      </c>
      <c r="D49" s="501" t="s">
        <v>993</v>
      </c>
      <c r="E49" s="504" t="s">
        <v>655</v>
      </c>
      <c r="F49" s="504" t="s">
        <v>1004</v>
      </c>
      <c r="G49" s="523">
        <v>-3.623698042747054E-2</v>
      </c>
      <c r="H49" s="534">
        <v>-4.6912762436935949E-2</v>
      </c>
      <c r="I49" s="526">
        <v>5.0769999999999999E-3</v>
      </c>
    </row>
    <row r="50" spans="1:9">
      <c r="A50" s="501" t="s">
        <v>300</v>
      </c>
      <c r="B50" s="501" t="s">
        <v>948</v>
      </c>
      <c r="C50" s="501" t="s">
        <v>654</v>
      </c>
      <c r="D50" s="501" t="s">
        <v>991</v>
      </c>
      <c r="E50" s="504" t="s">
        <v>655</v>
      </c>
      <c r="F50" s="504" t="s">
        <v>1003</v>
      </c>
      <c r="G50" s="523">
        <v>-3.9226874235350907E-2</v>
      </c>
      <c r="H50" s="534">
        <v>-4.6912762436935949E-2</v>
      </c>
      <c r="I50" s="526">
        <v>5.0769999999999999E-3</v>
      </c>
    </row>
    <row r="51" spans="1:9">
      <c r="A51" s="501" t="s">
        <v>300</v>
      </c>
      <c r="B51" s="501" t="s">
        <v>948</v>
      </c>
      <c r="C51" s="501" t="s">
        <v>654</v>
      </c>
      <c r="D51" s="501" t="s">
        <v>989</v>
      </c>
      <c r="E51" s="504" t="s">
        <v>655</v>
      </c>
      <c r="F51" s="504" t="s">
        <v>1002</v>
      </c>
      <c r="G51" s="523">
        <v>-3.8378061946766885E-2</v>
      </c>
      <c r="H51" s="534">
        <v>-4.6912762436935949E-2</v>
      </c>
      <c r="I51" s="526">
        <v>5.0769999999999999E-3</v>
      </c>
    </row>
    <row r="52" spans="1:9">
      <c r="A52" s="501" t="s">
        <v>300</v>
      </c>
      <c r="B52" s="501" t="s">
        <v>936</v>
      </c>
      <c r="C52" s="501" t="s">
        <v>654</v>
      </c>
      <c r="D52" s="501" t="s">
        <v>1001</v>
      </c>
      <c r="E52" s="504" t="s">
        <v>652</v>
      </c>
      <c r="F52" s="504" t="s">
        <v>1000</v>
      </c>
      <c r="G52" s="523">
        <v>6.3974934889898361E-2</v>
      </c>
      <c r="H52" s="523">
        <v>-2.6042597989801686E-2</v>
      </c>
      <c r="I52" s="508">
        <v>5.4130000000000003E-3</v>
      </c>
    </row>
    <row r="53" spans="1:9">
      <c r="A53" s="501" t="s">
        <v>300</v>
      </c>
      <c r="B53" s="501" t="s">
        <v>948</v>
      </c>
      <c r="C53" s="501" t="s">
        <v>713</v>
      </c>
      <c r="D53" s="501" t="s">
        <v>999</v>
      </c>
      <c r="E53" s="504" t="s">
        <v>68</v>
      </c>
      <c r="F53" s="504" t="s">
        <v>998</v>
      </c>
      <c r="G53" s="523">
        <v>0.17756589007825851</v>
      </c>
      <c r="H53" s="523">
        <v>9.4932893927945714E-3</v>
      </c>
      <c r="I53" s="507">
        <v>7.4910000000000003E-3</v>
      </c>
    </row>
    <row r="54" spans="1:9">
      <c r="A54" s="501" t="s">
        <v>300</v>
      </c>
      <c r="B54" s="501" t="s">
        <v>948</v>
      </c>
      <c r="C54" s="501" t="s">
        <v>713</v>
      </c>
      <c r="D54" s="501" t="s">
        <v>997</v>
      </c>
      <c r="E54" s="504" t="s">
        <v>68</v>
      </c>
      <c r="F54" s="504" t="s">
        <v>996</v>
      </c>
      <c r="G54" s="523">
        <v>-2.7815790208618425E-2</v>
      </c>
      <c r="H54" s="523">
        <v>9.4932893927945714E-3</v>
      </c>
      <c r="I54" s="507">
        <v>7.4910000000000003E-3</v>
      </c>
    </row>
    <row r="55" spans="1:9">
      <c r="A55" s="501" t="s">
        <v>300</v>
      </c>
      <c r="B55" s="501" t="s">
        <v>948</v>
      </c>
      <c r="C55" s="501" t="s">
        <v>713</v>
      </c>
      <c r="D55" s="501" t="s">
        <v>995</v>
      </c>
      <c r="E55" s="504" t="s">
        <v>68</v>
      </c>
      <c r="F55" s="504" t="s">
        <v>994</v>
      </c>
      <c r="G55" s="523">
        <v>5.3298621962705559E-2</v>
      </c>
      <c r="H55" s="523">
        <v>9.4932893927945714E-3</v>
      </c>
      <c r="I55" s="507">
        <v>7.4910000000000003E-3</v>
      </c>
    </row>
    <row r="56" spans="1:9">
      <c r="A56" s="501" t="s">
        <v>300</v>
      </c>
      <c r="B56" s="501" t="s">
        <v>948</v>
      </c>
      <c r="C56" s="501" t="s">
        <v>713</v>
      </c>
      <c r="D56" s="501" t="s">
        <v>993</v>
      </c>
      <c r="E56" s="504" t="s">
        <v>68</v>
      </c>
      <c r="F56" s="504" t="s">
        <v>992</v>
      </c>
      <c r="G56" s="523">
        <v>0.68167054886650669</v>
      </c>
      <c r="H56" s="523">
        <v>9.4932893927945714E-3</v>
      </c>
      <c r="I56" s="507">
        <v>7.4910000000000003E-3</v>
      </c>
    </row>
    <row r="57" spans="1:9">
      <c r="A57" s="501" t="s">
        <v>300</v>
      </c>
      <c r="B57" s="501" t="s">
        <v>948</v>
      </c>
      <c r="C57" s="501" t="s">
        <v>713</v>
      </c>
      <c r="D57" s="501" t="s">
        <v>991</v>
      </c>
      <c r="E57" s="504" t="s">
        <v>68</v>
      </c>
      <c r="F57" s="504" t="s">
        <v>990</v>
      </c>
      <c r="G57" s="523">
        <v>4.6779337396489824E-2</v>
      </c>
      <c r="H57" s="523">
        <v>9.4932893927945714E-3</v>
      </c>
      <c r="I57" s="507">
        <v>7.4910000000000003E-3</v>
      </c>
    </row>
    <row r="58" spans="1:9">
      <c r="A58" s="501" t="s">
        <v>300</v>
      </c>
      <c r="B58" s="501" t="s">
        <v>948</v>
      </c>
      <c r="C58" s="501" t="s">
        <v>713</v>
      </c>
      <c r="D58" s="501" t="s">
        <v>989</v>
      </c>
      <c r="E58" s="504" t="s">
        <v>68</v>
      </c>
      <c r="F58" s="504" t="s">
        <v>988</v>
      </c>
      <c r="G58" s="523">
        <v>-8.0227710170458433E-2</v>
      </c>
      <c r="H58" s="523">
        <v>9.4932893927945714E-3</v>
      </c>
      <c r="I58" s="507">
        <v>7.4910000000000003E-3</v>
      </c>
    </row>
    <row r="59" spans="1:9">
      <c r="A59" s="501" t="s">
        <v>300</v>
      </c>
      <c r="B59" s="501" t="s">
        <v>948</v>
      </c>
      <c r="C59" s="501" t="s">
        <v>713</v>
      </c>
      <c r="D59" s="501" t="s">
        <v>987</v>
      </c>
      <c r="E59" s="504" t="s">
        <v>68</v>
      </c>
      <c r="F59" s="504" t="s">
        <v>986</v>
      </c>
      <c r="G59" s="523">
        <v>0.34787869723934933</v>
      </c>
      <c r="H59" s="523">
        <v>9.4932893927945714E-3</v>
      </c>
      <c r="I59" s="507">
        <v>7.4910000000000003E-3</v>
      </c>
    </row>
    <row r="60" spans="1:9">
      <c r="A60" s="501" t="s">
        <v>300</v>
      </c>
      <c r="B60" s="501" t="s">
        <v>948</v>
      </c>
      <c r="C60" s="501" t="s">
        <v>713</v>
      </c>
      <c r="D60" s="501" t="s">
        <v>985</v>
      </c>
      <c r="E60" s="504" t="s">
        <v>68</v>
      </c>
      <c r="F60" s="504" t="s">
        <v>984</v>
      </c>
      <c r="G60" s="523">
        <v>-3.8541753107396173E-2</v>
      </c>
      <c r="H60" s="523">
        <v>9.4932893927945714E-3</v>
      </c>
      <c r="I60" s="507">
        <v>7.4910000000000003E-3</v>
      </c>
    </row>
    <row r="61" spans="1:9">
      <c r="A61" s="501" t="s">
        <v>300</v>
      </c>
      <c r="B61" s="501" t="s">
        <v>948</v>
      </c>
      <c r="C61" s="501" t="s">
        <v>713</v>
      </c>
      <c r="D61" s="501" t="s">
        <v>983</v>
      </c>
      <c r="E61" s="504" t="s">
        <v>68</v>
      </c>
      <c r="F61" s="504" t="s">
        <v>982</v>
      </c>
      <c r="G61" s="523">
        <v>-8.6918377141617709E-2</v>
      </c>
      <c r="H61" s="523">
        <v>9.4932893927945714E-3</v>
      </c>
      <c r="I61" s="507">
        <v>7.4910000000000003E-3</v>
      </c>
    </row>
    <row r="62" spans="1:9">
      <c r="A62" s="501" t="s">
        <v>300</v>
      </c>
      <c r="B62" s="501" t="s">
        <v>948</v>
      </c>
      <c r="C62" s="501" t="s">
        <v>713</v>
      </c>
      <c r="D62" s="501" t="s">
        <v>981</v>
      </c>
      <c r="E62" s="504" t="s">
        <v>68</v>
      </c>
      <c r="F62" s="504" t="s">
        <v>980</v>
      </c>
      <c r="G62" s="523">
        <v>0.79757364063060376</v>
      </c>
      <c r="H62" s="523">
        <v>9.4932893927945714E-3</v>
      </c>
      <c r="I62" s="507">
        <v>7.4910000000000003E-3</v>
      </c>
    </row>
    <row r="63" spans="1:9">
      <c r="A63" s="501" t="s">
        <v>300</v>
      </c>
      <c r="B63" s="501" t="s">
        <v>936</v>
      </c>
      <c r="C63" s="501" t="s">
        <v>654</v>
      </c>
      <c r="D63" s="501" t="s">
        <v>979</v>
      </c>
      <c r="E63" s="504" t="s">
        <v>655</v>
      </c>
      <c r="F63" s="516" t="s">
        <v>978</v>
      </c>
      <c r="G63" s="523">
        <v>1.6958535648690837E-2</v>
      </c>
      <c r="H63" s="523">
        <v>-3.1538467145082683E-2</v>
      </c>
      <c r="I63" s="508">
        <v>2.23E-2</v>
      </c>
    </row>
    <row r="64" spans="1:9">
      <c r="A64" s="501" t="s">
        <v>300</v>
      </c>
      <c r="B64" s="501" t="s">
        <v>936</v>
      </c>
      <c r="C64" s="501" t="s">
        <v>654</v>
      </c>
      <c r="D64" s="501" t="s">
        <v>977</v>
      </c>
      <c r="E64" s="504" t="s">
        <v>655</v>
      </c>
      <c r="F64" s="516" t="s">
        <v>976</v>
      </c>
      <c r="G64" s="523">
        <v>-4.9571283575532976E-2</v>
      </c>
      <c r="H64" s="523">
        <v>-5.2868135195767212E-2</v>
      </c>
      <c r="I64" s="508">
        <v>5.0599999999999999E-2</v>
      </c>
    </row>
    <row r="65" spans="1:13">
      <c r="A65" s="501" t="s">
        <v>300</v>
      </c>
      <c r="B65" s="501" t="s">
        <v>954</v>
      </c>
      <c r="C65" s="501" t="s">
        <v>654</v>
      </c>
      <c r="D65" s="501" t="s">
        <v>962</v>
      </c>
      <c r="E65" s="504" t="s">
        <v>652</v>
      </c>
      <c r="F65" s="504" t="s">
        <v>975</v>
      </c>
      <c r="G65" s="523">
        <v>1.2432101677745061E-2</v>
      </c>
      <c r="H65" s="523">
        <v>-2.8909115735960028E-2</v>
      </c>
      <c r="I65" s="508">
        <v>6.7392999999999995E-2</v>
      </c>
    </row>
    <row r="66" spans="1:13">
      <c r="A66" s="501" t="s">
        <v>300</v>
      </c>
      <c r="B66" s="501" t="s">
        <v>939</v>
      </c>
      <c r="C66" s="501" t="s">
        <v>654</v>
      </c>
      <c r="D66" s="501" t="s">
        <v>974</v>
      </c>
      <c r="E66" s="504" t="s">
        <v>652</v>
      </c>
      <c r="F66" s="504" t="s">
        <v>973</v>
      </c>
      <c r="G66" s="523">
        <v>8.20171819241736E-3</v>
      </c>
      <c r="H66" s="523">
        <v>-4.6583430362267371E-2</v>
      </c>
      <c r="I66" s="508">
        <v>8.1199999999999994E-2</v>
      </c>
    </row>
    <row r="67" spans="1:13">
      <c r="A67" s="501" t="s">
        <v>300</v>
      </c>
      <c r="B67" s="501" t="s">
        <v>936</v>
      </c>
      <c r="C67" s="501" t="s">
        <v>654</v>
      </c>
      <c r="D67" s="501" t="s">
        <v>972</v>
      </c>
      <c r="E67" s="504" t="s">
        <v>655</v>
      </c>
      <c r="F67" s="516" t="s">
        <v>971</v>
      </c>
      <c r="G67" s="523">
        <v>-3.6059978690413289E-2</v>
      </c>
      <c r="H67" s="523">
        <v>-5.4894173852330773E-2</v>
      </c>
      <c r="I67" s="508">
        <v>8.5400000000000004E-2</v>
      </c>
    </row>
    <row r="68" spans="1:13">
      <c r="A68" s="501" t="s">
        <v>300</v>
      </c>
      <c r="B68" s="501" t="s">
        <v>936</v>
      </c>
      <c r="C68" s="501" t="s">
        <v>713</v>
      </c>
      <c r="D68" s="501" t="s">
        <v>958</v>
      </c>
      <c r="E68" s="504" t="s">
        <v>68</v>
      </c>
      <c r="F68" s="504" t="s">
        <v>970</v>
      </c>
      <c r="G68" s="523">
        <v>-3.3598184673246406E-2</v>
      </c>
      <c r="H68" s="523">
        <v>-3.0714660002418483E-2</v>
      </c>
      <c r="I68" s="502">
        <v>0.22600000000000001</v>
      </c>
    </row>
    <row r="69" spans="1:13">
      <c r="A69" s="501" t="s">
        <v>300</v>
      </c>
      <c r="B69" s="501" t="s">
        <v>954</v>
      </c>
      <c r="C69" s="501" t="s">
        <v>654</v>
      </c>
      <c r="D69" s="501" t="s">
        <v>953</v>
      </c>
      <c r="E69" s="504" t="s">
        <v>655</v>
      </c>
      <c r="F69" s="504" t="s">
        <v>969</v>
      </c>
      <c r="G69" s="523">
        <v>-4.6393046177676811E-2</v>
      </c>
      <c r="H69" s="523">
        <v>-5.1701198002885855E-2</v>
      </c>
      <c r="I69" s="508">
        <v>0.23</v>
      </c>
    </row>
    <row r="70" spans="1:13">
      <c r="A70" s="501" t="s">
        <v>300</v>
      </c>
      <c r="B70" s="501" t="s">
        <v>954</v>
      </c>
      <c r="C70" s="501" t="s">
        <v>654</v>
      </c>
      <c r="D70" s="501" t="s">
        <v>962</v>
      </c>
      <c r="E70" s="504" t="s">
        <v>655</v>
      </c>
      <c r="F70" s="504" t="s">
        <v>968</v>
      </c>
      <c r="G70" s="523">
        <v>-3.8547565746174829E-2</v>
      </c>
      <c r="H70" s="523">
        <v>-3.8340385906683226E-2</v>
      </c>
      <c r="I70" s="508">
        <v>0.29599999999999999</v>
      </c>
    </row>
    <row r="71" spans="1:13">
      <c r="A71" s="501" t="s">
        <v>300</v>
      </c>
      <c r="B71" s="501" t="s">
        <v>936</v>
      </c>
      <c r="C71" s="501" t="s">
        <v>654</v>
      </c>
      <c r="D71" s="501" t="s">
        <v>967</v>
      </c>
      <c r="E71" s="504" t="s">
        <v>655</v>
      </c>
      <c r="F71" s="516" t="s">
        <v>966</v>
      </c>
      <c r="G71" s="523">
        <v>-1.3375965695787036E-2</v>
      </c>
      <c r="H71" s="523">
        <v>0.10380592865522116</v>
      </c>
      <c r="I71" s="508">
        <v>0.29859999999999998</v>
      </c>
    </row>
    <row r="72" spans="1:13">
      <c r="A72" s="501" t="s">
        <v>300</v>
      </c>
      <c r="B72" s="501" t="s">
        <v>965</v>
      </c>
      <c r="C72" s="501" t="s">
        <v>577</v>
      </c>
      <c r="D72" s="524" t="s">
        <v>964</v>
      </c>
      <c r="E72" s="504" t="s">
        <v>68</v>
      </c>
      <c r="F72" s="504" t="s">
        <v>963</v>
      </c>
      <c r="G72" s="523">
        <v>-7.1044708520258916E-3</v>
      </c>
      <c r="H72" s="523">
        <v>-6.4455861746847268E-2</v>
      </c>
      <c r="I72" s="525">
        <v>0.32</v>
      </c>
    </row>
    <row r="73" spans="1:13">
      <c r="A73" s="501" t="s">
        <v>300</v>
      </c>
      <c r="B73" s="501" t="s">
        <v>954</v>
      </c>
      <c r="C73" s="501" t="s">
        <v>713</v>
      </c>
      <c r="D73" s="501" t="s">
        <v>962</v>
      </c>
      <c r="E73" s="504" t="s">
        <v>68</v>
      </c>
      <c r="F73" s="504" t="s">
        <v>961</v>
      </c>
      <c r="G73" s="523">
        <v>-4.1099655782908223E-2</v>
      </c>
      <c r="H73" s="523">
        <v>-3.524475524475524E-2</v>
      </c>
      <c r="I73" s="502">
        <v>0.48499999999999999</v>
      </c>
    </row>
    <row r="74" spans="1:13">
      <c r="A74" s="501" t="s">
        <v>300</v>
      </c>
      <c r="B74" s="501" t="s">
        <v>936</v>
      </c>
      <c r="C74" s="501" t="s">
        <v>654</v>
      </c>
      <c r="D74" s="501" t="s">
        <v>958</v>
      </c>
      <c r="E74" s="504" t="s">
        <v>655</v>
      </c>
      <c r="F74" s="516" t="s">
        <v>960</v>
      </c>
      <c r="G74" s="523">
        <v>8.7041246171785328E-3</v>
      </c>
      <c r="H74" s="523">
        <v>-4.3470114291322595E-2</v>
      </c>
      <c r="I74" s="508">
        <v>0.70789999999999997</v>
      </c>
    </row>
    <row r="75" spans="1:13">
      <c r="A75" s="501" t="s">
        <v>300</v>
      </c>
      <c r="B75" s="501" t="s">
        <v>954</v>
      </c>
      <c r="C75" s="501" t="s">
        <v>713</v>
      </c>
      <c r="D75" s="501" t="s">
        <v>953</v>
      </c>
      <c r="E75" s="504" t="s">
        <v>68</v>
      </c>
      <c r="F75" s="504" t="s">
        <v>959</v>
      </c>
      <c r="G75" s="523">
        <v>-4.9079085365568598E-2</v>
      </c>
      <c r="H75" s="523">
        <v>-6.629810422792401E-2</v>
      </c>
      <c r="I75" s="502">
        <v>1.8740000000000001</v>
      </c>
    </row>
    <row r="76" spans="1:13">
      <c r="A76" s="501" t="s">
        <v>300</v>
      </c>
      <c r="B76" s="501" t="s">
        <v>936</v>
      </c>
      <c r="C76" s="501" t="s">
        <v>654</v>
      </c>
      <c r="D76" s="501" t="s">
        <v>958</v>
      </c>
      <c r="E76" s="504" t="s">
        <v>652</v>
      </c>
      <c r="F76" s="504" t="s">
        <v>957</v>
      </c>
      <c r="G76" s="523">
        <v>4.3178143604950314E-2</v>
      </c>
      <c r="H76" s="523">
        <v>-2.6966800326186272E-2</v>
      </c>
      <c r="I76" s="508">
        <v>3.8828930000000001</v>
      </c>
    </row>
    <row r="77" spans="1:13">
      <c r="A77" s="501" t="s">
        <v>300</v>
      </c>
      <c r="B77" s="501" t="s">
        <v>936</v>
      </c>
      <c r="C77" s="501" t="s">
        <v>654</v>
      </c>
      <c r="D77" s="501" t="s">
        <v>956</v>
      </c>
      <c r="E77" s="504" t="s">
        <v>652</v>
      </c>
      <c r="F77" s="504" t="s">
        <v>955</v>
      </c>
      <c r="G77" s="523">
        <v>0.69415112141049229</v>
      </c>
      <c r="H77" s="523">
        <v>0.50876389324203786</v>
      </c>
      <c r="I77" s="508">
        <v>7.9790000000000001</v>
      </c>
    </row>
    <row r="78" spans="1:13">
      <c r="A78" s="501" t="s">
        <v>300</v>
      </c>
      <c r="B78" s="501" t="s">
        <v>954</v>
      </c>
      <c r="C78" s="501" t="s">
        <v>654</v>
      </c>
      <c r="D78" s="501" t="s">
        <v>953</v>
      </c>
      <c r="E78" s="504" t="s">
        <v>652</v>
      </c>
      <c r="F78" s="504" t="s">
        <v>952</v>
      </c>
      <c r="G78" s="523">
        <v>1.2650662965291007E-2</v>
      </c>
      <c r="H78" s="523">
        <v>-1.0616021426832236E-2</v>
      </c>
      <c r="I78" s="508">
        <v>18.001919999999998</v>
      </c>
    </row>
    <row r="79" spans="1:13" ht="25">
      <c r="A79" s="501" t="s">
        <v>300</v>
      </c>
      <c r="B79" s="517" t="s">
        <v>951</v>
      </c>
      <c r="C79" s="501" t="s">
        <v>306</v>
      </c>
      <c r="D79" s="517" t="s">
        <v>950</v>
      </c>
      <c r="E79" s="504" t="s">
        <v>68</v>
      </c>
      <c r="F79" s="504" t="s">
        <v>949</v>
      </c>
      <c r="G79" s="523">
        <v>7.5238458603586425E-2</v>
      </c>
      <c r="H79" s="523">
        <v>6.171348363587182E-2</v>
      </c>
      <c r="I79" s="548" t="s">
        <v>68</v>
      </c>
      <c r="M79" s="501"/>
    </row>
    <row r="80" spans="1:13">
      <c r="A80" s="501" t="s">
        <v>300</v>
      </c>
      <c r="B80" s="501" t="s">
        <v>948</v>
      </c>
      <c r="C80" s="501" t="s">
        <v>306</v>
      </c>
      <c r="D80" s="517" t="s">
        <v>947</v>
      </c>
      <c r="E80" s="504" t="s">
        <v>68</v>
      </c>
      <c r="F80" s="504" t="s">
        <v>946</v>
      </c>
      <c r="G80" s="523">
        <v>-3.9762520792040616E-2</v>
      </c>
      <c r="H80" s="523">
        <v>1.7129010597554534E-2</v>
      </c>
      <c r="I80" s="548" t="s">
        <v>68</v>
      </c>
      <c r="M80" s="501"/>
    </row>
    <row r="81" spans="1:9">
      <c r="A81" s="501" t="s">
        <v>300</v>
      </c>
      <c r="B81" s="501" t="s">
        <v>939</v>
      </c>
      <c r="C81" s="501" t="s">
        <v>306</v>
      </c>
      <c r="D81" s="517" t="s">
        <v>945</v>
      </c>
      <c r="E81" s="504" t="s">
        <v>68</v>
      </c>
      <c r="F81" s="504" t="s">
        <v>944</v>
      </c>
      <c r="G81" s="523">
        <v>4.2068388795884846E-3</v>
      </c>
      <c r="H81" s="523">
        <v>-4.6753496289367494E-2</v>
      </c>
      <c r="I81" s="548" t="s">
        <v>68</v>
      </c>
    </row>
    <row r="82" spans="1:9">
      <c r="A82" s="501" t="s">
        <v>300</v>
      </c>
      <c r="B82" s="501" t="s">
        <v>939</v>
      </c>
      <c r="C82" s="501" t="s">
        <v>306</v>
      </c>
      <c r="D82" s="517" t="s">
        <v>943</v>
      </c>
      <c r="E82" s="504" t="s">
        <v>68</v>
      </c>
      <c r="F82" s="504" t="s">
        <v>942</v>
      </c>
      <c r="G82" s="523">
        <v>-5.8961531487335767E-2</v>
      </c>
      <c r="H82" s="523">
        <v>3.2716967548770466E-2</v>
      </c>
      <c r="I82" s="548" t="s">
        <v>68</v>
      </c>
    </row>
    <row r="83" spans="1:9">
      <c r="A83" s="501" t="s">
        <v>300</v>
      </c>
      <c r="B83" s="501" t="s">
        <v>939</v>
      </c>
      <c r="C83" s="501" t="s">
        <v>306</v>
      </c>
      <c r="D83" s="517" t="s">
        <v>941</v>
      </c>
      <c r="E83" s="504" t="s">
        <v>68</v>
      </c>
      <c r="F83" s="504" t="s">
        <v>940</v>
      </c>
      <c r="G83" s="523">
        <v>-3.8780241655945735E-2</v>
      </c>
      <c r="H83" s="523">
        <v>-5.8601658544731726E-2</v>
      </c>
      <c r="I83" s="548" t="s">
        <v>68</v>
      </c>
    </row>
    <row r="84" spans="1:9">
      <c r="A84" s="501" t="s">
        <v>300</v>
      </c>
      <c r="B84" s="501" t="s">
        <v>939</v>
      </c>
      <c r="C84" s="501" t="s">
        <v>306</v>
      </c>
      <c r="D84" s="517" t="s">
        <v>938</v>
      </c>
      <c r="E84" s="504" t="s">
        <v>68</v>
      </c>
      <c r="F84" s="504" t="s">
        <v>937</v>
      </c>
      <c r="G84" s="523">
        <v>0.11417158126290503</v>
      </c>
      <c r="H84" s="523">
        <v>0.58255882475841125</v>
      </c>
      <c r="I84" s="548" t="s">
        <v>68</v>
      </c>
    </row>
    <row r="85" spans="1:9">
      <c r="A85" s="501" t="s">
        <v>300</v>
      </c>
      <c r="B85" s="501" t="s">
        <v>936</v>
      </c>
      <c r="C85" s="501" t="s">
        <v>690</v>
      </c>
      <c r="D85" s="524" t="s">
        <v>935</v>
      </c>
      <c r="E85" s="504" t="s">
        <v>68</v>
      </c>
      <c r="F85" s="504" t="s">
        <v>934</v>
      </c>
      <c r="G85" s="523">
        <v>-2.1202997526436326E-2</v>
      </c>
      <c r="H85" s="523">
        <v>1.3658837323234259</v>
      </c>
      <c r="I85" s="548" t="s">
        <v>68</v>
      </c>
    </row>
    <row r="86" spans="1:9" ht="27" customHeight="1">
      <c r="A86" s="501" t="s">
        <v>848</v>
      </c>
      <c r="B86" s="501" t="s">
        <v>847</v>
      </c>
      <c r="C86" s="501" t="s">
        <v>306</v>
      </c>
      <c r="D86" s="517" t="s">
        <v>933</v>
      </c>
      <c r="E86" s="504" t="s">
        <v>68</v>
      </c>
      <c r="F86" s="504" t="s">
        <v>932</v>
      </c>
      <c r="G86" s="523">
        <v>6.4448519779931879E-2</v>
      </c>
      <c r="H86" s="523">
        <v>1.5704907513301296</v>
      </c>
      <c r="I86" s="542">
        <v>0</v>
      </c>
    </row>
    <row r="87" spans="1:9" ht="19" customHeight="1">
      <c r="A87" s="501" t="s">
        <v>848</v>
      </c>
      <c r="B87" s="501" t="s">
        <v>847</v>
      </c>
      <c r="C87" s="501" t="s">
        <v>306</v>
      </c>
      <c r="D87" s="517" t="s">
        <v>931</v>
      </c>
      <c r="E87" s="504" t="s">
        <v>68</v>
      </c>
      <c r="F87" s="504" t="s">
        <v>930</v>
      </c>
      <c r="G87" s="523">
        <v>3.3387888707037641E-2</v>
      </c>
      <c r="H87" s="523">
        <v>0.14250236304614558</v>
      </c>
      <c r="I87" s="542">
        <v>0</v>
      </c>
    </row>
    <row r="88" spans="1:9" ht="18" customHeight="1">
      <c r="A88" s="501" t="s">
        <v>848</v>
      </c>
      <c r="B88" s="501" t="s">
        <v>847</v>
      </c>
      <c r="C88" s="501" t="s">
        <v>306</v>
      </c>
      <c r="D88" s="517" t="s">
        <v>929</v>
      </c>
      <c r="E88" s="504" t="s">
        <v>68</v>
      </c>
      <c r="F88" s="504" t="s">
        <v>928</v>
      </c>
      <c r="G88" s="523">
        <v>-3.0767257138580945E-2</v>
      </c>
      <c r="H88" s="523">
        <v>-4.267177234796548E-2</v>
      </c>
      <c r="I88" s="542">
        <v>0</v>
      </c>
    </row>
    <row r="89" spans="1:9" ht="20" customHeight="1">
      <c r="A89" s="501" t="s">
        <v>848</v>
      </c>
      <c r="B89" s="501" t="s">
        <v>847</v>
      </c>
      <c r="C89" s="501" t="s">
        <v>306</v>
      </c>
      <c r="D89" s="517" t="s">
        <v>927</v>
      </c>
      <c r="E89" s="504" t="s">
        <v>68</v>
      </c>
      <c r="F89" s="504" t="s">
        <v>926</v>
      </c>
      <c r="G89" s="523">
        <v>-2.3715415019762848E-2</v>
      </c>
      <c r="H89" s="523">
        <v>4.3033154321376971E-2</v>
      </c>
      <c r="I89" s="542">
        <v>0</v>
      </c>
    </row>
    <row r="90" spans="1:9" ht="20" customHeight="1">
      <c r="A90" s="501" t="s">
        <v>848</v>
      </c>
      <c r="B90" s="501" t="s">
        <v>847</v>
      </c>
      <c r="C90" s="501" t="s">
        <v>306</v>
      </c>
      <c r="D90" s="517" t="s">
        <v>925</v>
      </c>
      <c r="E90" s="504" t="s">
        <v>68</v>
      </c>
      <c r="F90" s="504" t="s">
        <v>924</v>
      </c>
      <c r="G90" s="523">
        <v>0.12036013268046122</v>
      </c>
      <c r="H90" s="503">
        <v>-9.9650510024734576E-4</v>
      </c>
      <c r="I90" s="542">
        <v>0</v>
      </c>
    </row>
    <row r="91" spans="1:9" ht="19" customHeight="1">
      <c r="A91" s="501" t="s">
        <v>848</v>
      </c>
      <c r="B91" s="501" t="s">
        <v>847</v>
      </c>
      <c r="C91" s="501" t="s">
        <v>306</v>
      </c>
      <c r="D91" s="517" t="s">
        <v>923</v>
      </c>
      <c r="E91" s="504" t="s">
        <v>68</v>
      </c>
      <c r="F91" s="504" t="s">
        <v>912</v>
      </c>
      <c r="G91" s="523">
        <v>2.2970382182723837E-2</v>
      </c>
      <c r="H91" s="503">
        <v>1.1151877854620152E-2</v>
      </c>
      <c r="I91" s="542">
        <v>0</v>
      </c>
    </row>
    <row r="92" spans="1:9" ht="19" customHeight="1">
      <c r="A92" s="501" t="s">
        <v>848</v>
      </c>
      <c r="B92" s="501" t="s">
        <v>847</v>
      </c>
      <c r="C92" s="501" t="s">
        <v>306</v>
      </c>
      <c r="D92" s="517" t="s">
        <v>922</v>
      </c>
      <c r="E92" s="504" t="s">
        <v>68</v>
      </c>
      <c r="F92" s="504" t="s">
        <v>914</v>
      </c>
      <c r="G92" s="523">
        <v>4.0162405354987378E-2</v>
      </c>
      <c r="H92" s="522" t="s">
        <v>68</v>
      </c>
      <c r="I92" s="542">
        <v>0</v>
      </c>
    </row>
    <row r="93" spans="1:9" ht="19" customHeight="1">
      <c r="A93" s="501" t="s">
        <v>848</v>
      </c>
      <c r="B93" s="501" t="s">
        <v>847</v>
      </c>
      <c r="C93" s="501" t="s">
        <v>306</v>
      </c>
      <c r="D93" s="517" t="s">
        <v>921</v>
      </c>
      <c r="E93" s="504" t="s">
        <v>68</v>
      </c>
      <c r="F93" s="504" t="s">
        <v>920</v>
      </c>
      <c r="G93" s="523">
        <v>-3.5107327175306527E-2</v>
      </c>
      <c r="H93" s="503">
        <v>-0.12916444183524289</v>
      </c>
      <c r="I93" s="542">
        <v>0</v>
      </c>
    </row>
    <row r="94" spans="1:9" ht="19" customHeight="1">
      <c r="A94" s="501" t="s">
        <v>848</v>
      </c>
      <c r="B94" s="501" t="s">
        <v>847</v>
      </c>
      <c r="C94" s="501" t="s">
        <v>306</v>
      </c>
      <c r="D94" s="517" t="s">
        <v>919</v>
      </c>
      <c r="E94" s="504" t="s">
        <v>68</v>
      </c>
      <c r="F94" s="531" t="s">
        <v>918</v>
      </c>
      <c r="G94" s="523">
        <v>-6.6467781208588192E-2</v>
      </c>
      <c r="H94" s="523">
        <v>-4.4937127518788617E-2</v>
      </c>
      <c r="I94" s="522" t="s">
        <v>68</v>
      </c>
    </row>
    <row r="95" spans="1:9" ht="19" customHeight="1">
      <c r="A95" s="501" t="s">
        <v>848</v>
      </c>
      <c r="B95" s="501" t="s">
        <v>847</v>
      </c>
      <c r="C95" s="501" t="s">
        <v>306</v>
      </c>
      <c r="D95" s="517" t="s">
        <v>917</v>
      </c>
      <c r="E95" s="504" t="s">
        <v>68</v>
      </c>
      <c r="F95" s="531" t="s">
        <v>916</v>
      </c>
      <c r="G95" s="523">
        <v>0.2698054077691131</v>
      </c>
      <c r="H95" s="523">
        <v>-4.4937127518788617E-2</v>
      </c>
      <c r="I95" s="522" t="s">
        <v>68</v>
      </c>
    </row>
    <row r="96" spans="1:9" ht="19" customHeight="1">
      <c r="A96" s="501" t="s">
        <v>848</v>
      </c>
      <c r="B96" s="501" t="s">
        <v>847</v>
      </c>
      <c r="C96" s="501" t="s">
        <v>306</v>
      </c>
      <c r="D96" s="517" t="s">
        <v>915</v>
      </c>
      <c r="E96" s="504" t="s">
        <v>68</v>
      </c>
      <c r="F96" s="531" t="s">
        <v>914</v>
      </c>
      <c r="G96" s="523">
        <v>-3.0780275496926454E-2</v>
      </c>
      <c r="H96" s="523">
        <v>8.1941412397827082E-2</v>
      </c>
      <c r="I96" s="520">
        <v>6.1334499999999995E-3</v>
      </c>
    </row>
    <row r="97" spans="1:9" ht="19" customHeight="1">
      <c r="A97" s="501" t="s">
        <v>848</v>
      </c>
      <c r="B97" s="501" t="s">
        <v>847</v>
      </c>
      <c r="C97" s="501" t="s">
        <v>306</v>
      </c>
      <c r="D97" s="517" t="s">
        <v>913</v>
      </c>
      <c r="E97" s="504" t="s">
        <v>68</v>
      </c>
      <c r="F97" s="531" t="s">
        <v>912</v>
      </c>
      <c r="G97" s="523">
        <v>-2.2433231016380277E-2</v>
      </c>
      <c r="H97" s="523">
        <v>6.1148396718866516E-2</v>
      </c>
      <c r="I97" s="520">
        <v>1.0185090000000001E-2</v>
      </c>
    </row>
    <row r="98" spans="1:9" ht="19" customHeight="1">
      <c r="A98" s="501" t="s">
        <v>848</v>
      </c>
      <c r="B98" s="501" t="s">
        <v>847</v>
      </c>
      <c r="C98" s="501" t="s">
        <v>306</v>
      </c>
      <c r="D98" s="517" t="s">
        <v>911</v>
      </c>
      <c r="E98" s="504" t="s">
        <v>68</v>
      </c>
      <c r="F98" s="531" t="s">
        <v>910</v>
      </c>
      <c r="G98" s="523">
        <v>-2.7065701786663395E-2</v>
      </c>
      <c r="H98" s="523">
        <v>-7.7377316228873939E-3</v>
      </c>
      <c r="I98" s="520">
        <v>2.7078800000000002E-3</v>
      </c>
    </row>
    <row r="99" spans="1:9" ht="19" customHeight="1">
      <c r="A99" s="501" t="s">
        <v>848</v>
      </c>
      <c r="B99" s="501" t="s">
        <v>847</v>
      </c>
      <c r="C99" s="501" t="s">
        <v>306</v>
      </c>
      <c r="D99" s="517" t="s">
        <v>909</v>
      </c>
      <c r="E99" s="504" t="s">
        <v>68</v>
      </c>
      <c r="F99" s="531" t="s">
        <v>908</v>
      </c>
      <c r="G99" s="523">
        <v>-5.4192646116193698E-3</v>
      </c>
      <c r="H99" s="523">
        <v>-6.7537499018350293E-3</v>
      </c>
      <c r="I99" s="520">
        <v>7.79279E-3</v>
      </c>
    </row>
    <row r="100" spans="1:9" ht="19" customHeight="1">
      <c r="A100" s="501" t="s">
        <v>848</v>
      </c>
      <c r="B100" s="501" t="s">
        <v>847</v>
      </c>
      <c r="C100" s="501" t="s">
        <v>306</v>
      </c>
      <c r="D100" s="517" t="s">
        <v>907</v>
      </c>
      <c r="E100" s="504" t="s">
        <v>68</v>
      </c>
      <c r="F100" s="531" t="s">
        <v>906</v>
      </c>
      <c r="G100" s="523">
        <v>-5.5506379240347946E-3</v>
      </c>
      <c r="H100" s="523">
        <v>-6.1307660504400216E-2</v>
      </c>
      <c r="I100" s="520">
        <v>1.5778999999999999E-4</v>
      </c>
    </row>
    <row r="101" spans="1:9" ht="19" customHeight="1">
      <c r="A101" s="501" t="s">
        <v>848</v>
      </c>
      <c r="B101" s="501" t="s">
        <v>847</v>
      </c>
      <c r="C101" s="501" t="s">
        <v>306</v>
      </c>
      <c r="D101" s="517" t="s">
        <v>905</v>
      </c>
      <c r="E101" s="504" t="s">
        <v>68</v>
      </c>
      <c r="F101" s="531" t="s">
        <v>904</v>
      </c>
      <c r="G101" s="523">
        <v>2.9224132393127336E-2</v>
      </c>
      <c r="H101" s="523">
        <v>0.55299539170506917</v>
      </c>
      <c r="I101" s="520">
        <v>4.3264999999999997E-4</v>
      </c>
    </row>
    <row r="102" spans="1:9" ht="19" customHeight="1">
      <c r="A102" s="501" t="s">
        <v>848</v>
      </c>
      <c r="B102" s="501" t="s">
        <v>861</v>
      </c>
      <c r="C102" s="501" t="s">
        <v>306</v>
      </c>
      <c r="D102" s="517" t="s">
        <v>903</v>
      </c>
      <c r="E102" s="504" t="s">
        <v>68</v>
      </c>
      <c r="F102" s="531" t="s">
        <v>902</v>
      </c>
      <c r="G102" s="523">
        <v>0.12432081197778691</v>
      </c>
      <c r="H102" s="523">
        <v>-6.3225367329163382E-2</v>
      </c>
      <c r="I102" s="520">
        <v>9.6859600000000004E-3</v>
      </c>
    </row>
    <row r="103" spans="1:9" ht="19" customHeight="1">
      <c r="A103" s="501" t="s">
        <v>848</v>
      </c>
      <c r="B103" s="501" t="s">
        <v>901</v>
      </c>
      <c r="C103" s="518" t="s">
        <v>306</v>
      </c>
      <c r="D103" s="518" t="s">
        <v>900</v>
      </c>
      <c r="E103" s="504" t="s">
        <v>68</v>
      </c>
      <c r="F103" s="531" t="s">
        <v>899</v>
      </c>
      <c r="G103" s="523">
        <v>-2.1785692383890661E-2</v>
      </c>
      <c r="H103" s="523">
        <v>6.1137232479240307E-2</v>
      </c>
      <c r="I103" s="520">
        <v>1.0465230000000001E-2</v>
      </c>
    </row>
    <row r="104" spans="1:9" ht="19" customHeight="1">
      <c r="A104" s="501" t="s">
        <v>848</v>
      </c>
      <c r="B104" s="501" t="s">
        <v>861</v>
      </c>
      <c r="C104" s="518" t="s">
        <v>306</v>
      </c>
      <c r="D104" s="501" t="s">
        <v>898</v>
      </c>
      <c r="E104" s="504" t="s">
        <v>68</v>
      </c>
      <c r="F104" s="531" t="s">
        <v>897</v>
      </c>
      <c r="G104" s="523">
        <v>-3.165416396493093E-3</v>
      </c>
      <c r="H104" s="523">
        <v>6.1137232479240307E-2</v>
      </c>
      <c r="I104" s="520">
        <v>1.0465230000000001E-2</v>
      </c>
    </row>
    <row r="105" spans="1:9" ht="19" customHeight="1">
      <c r="A105" s="501" t="s">
        <v>848</v>
      </c>
      <c r="B105" s="501" t="s">
        <v>861</v>
      </c>
      <c r="C105" s="518" t="s">
        <v>306</v>
      </c>
      <c r="D105" s="518" t="s">
        <v>896</v>
      </c>
      <c r="E105" s="504" t="s">
        <v>68</v>
      </c>
      <c r="F105" s="531" t="s">
        <v>895</v>
      </c>
      <c r="G105" s="523">
        <v>-3.7416077685758366E-2</v>
      </c>
      <c r="H105" s="523">
        <v>3.5655595480807517E-2</v>
      </c>
      <c r="I105" s="536">
        <v>9.4784903281733737E-2</v>
      </c>
    </row>
    <row r="106" spans="1:9" ht="19" customHeight="1">
      <c r="A106" s="501" t="s">
        <v>848</v>
      </c>
      <c r="B106" s="501" t="s">
        <v>861</v>
      </c>
      <c r="C106" s="518" t="s">
        <v>306</v>
      </c>
      <c r="D106" s="501" t="s">
        <v>894</v>
      </c>
      <c r="E106" s="504" t="s">
        <v>68</v>
      </c>
      <c r="F106" s="531" t="s">
        <v>893</v>
      </c>
      <c r="G106" s="523">
        <v>5.2980356931003503E-2</v>
      </c>
      <c r="H106" s="523">
        <v>0.255796123982303</v>
      </c>
      <c r="I106" s="536">
        <v>0.80337777286432155</v>
      </c>
    </row>
    <row r="107" spans="1:9" ht="19" customHeight="1">
      <c r="A107" s="501" t="s">
        <v>848</v>
      </c>
      <c r="B107" s="501" t="s">
        <v>861</v>
      </c>
      <c r="C107" s="518" t="s">
        <v>306</v>
      </c>
      <c r="D107" s="518" t="s">
        <v>892</v>
      </c>
      <c r="E107" s="504" t="s">
        <v>68</v>
      </c>
      <c r="F107" s="531" t="s">
        <v>891</v>
      </c>
      <c r="G107" s="523">
        <v>3.7374807366252726E-2</v>
      </c>
      <c r="H107" s="523">
        <v>0.255796123982303</v>
      </c>
      <c r="I107" s="536">
        <v>9.6134057229219153E-2</v>
      </c>
    </row>
    <row r="108" spans="1:9" ht="19" customHeight="1">
      <c r="A108" s="501" t="s">
        <v>848</v>
      </c>
      <c r="B108" s="501" t="s">
        <v>861</v>
      </c>
      <c r="C108" s="518" t="s">
        <v>306</v>
      </c>
      <c r="D108" s="518" t="s">
        <v>890</v>
      </c>
      <c r="E108" s="504" t="s">
        <v>68</v>
      </c>
      <c r="F108" s="531" t="s">
        <v>889</v>
      </c>
      <c r="G108" s="523">
        <v>-1.1568238837427924E-2</v>
      </c>
      <c r="H108" s="523">
        <v>5.6288177801364025E-2</v>
      </c>
      <c r="I108" s="536">
        <v>0.10274257269521408</v>
      </c>
    </row>
    <row r="109" spans="1:9" ht="19" customHeight="1">
      <c r="A109" s="501" t="s">
        <v>848</v>
      </c>
      <c r="B109" s="501" t="s">
        <v>861</v>
      </c>
      <c r="C109" s="518" t="s">
        <v>306</v>
      </c>
      <c r="D109" s="518" t="s">
        <v>888</v>
      </c>
      <c r="E109" s="504" t="s">
        <v>68</v>
      </c>
      <c r="F109" s="531" t="s">
        <v>887</v>
      </c>
      <c r="G109" s="523">
        <v>-2.8262884197081516E-2</v>
      </c>
      <c r="H109" s="523">
        <v>4.5759250301616707E-3</v>
      </c>
      <c r="I109" s="536">
        <v>6.5136151133501241E-2</v>
      </c>
    </row>
    <row r="110" spans="1:9" ht="19" customHeight="1">
      <c r="A110" s="501" t="s">
        <v>848</v>
      </c>
      <c r="B110" s="501" t="s">
        <v>861</v>
      </c>
      <c r="C110" s="518" t="s">
        <v>306</v>
      </c>
      <c r="D110" s="518" t="s">
        <v>1275</v>
      </c>
      <c r="E110" s="504" t="s">
        <v>68</v>
      </c>
      <c r="F110" s="531" t="s">
        <v>886</v>
      </c>
      <c r="G110" s="523">
        <v>0.10167880215197805</v>
      </c>
      <c r="H110" s="523">
        <v>0.16753649614567248</v>
      </c>
      <c r="I110" s="536">
        <v>0.18368394619647352</v>
      </c>
    </row>
    <row r="111" spans="1:9" ht="19" customHeight="1">
      <c r="A111" s="501" t="s">
        <v>848</v>
      </c>
      <c r="B111" s="501" t="s">
        <v>861</v>
      </c>
      <c r="C111" s="518" t="s">
        <v>306</v>
      </c>
      <c r="D111" s="518" t="s">
        <v>1276</v>
      </c>
      <c r="E111" s="504" t="s">
        <v>68</v>
      </c>
      <c r="F111" s="531" t="s">
        <v>885</v>
      </c>
      <c r="G111" s="523">
        <v>3.5442599951479407E-2</v>
      </c>
      <c r="H111" s="523">
        <v>2.3696474583842995</v>
      </c>
      <c r="I111" s="536">
        <v>2.7001704347826085E-2</v>
      </c>
    </row>
    <row r="112" spans="1:9" ht="19" customHeight="1">
      <c r="A112" s="501" t="s">
        <v>848</v>
      </c>
      <c r="B112" s="501" t="s">
        <v>878</v>
      </c>
      <c r="C112" s="501" t="s">
        <v>306</v>
      </c>
      <c r="D112" s="518" t="s">
        <v>1277</v>
      </c>
      <c r="E112" s="504" t="s">
        <v>68</v>
      </c>
      <c r="F112" s="531" t="s">
        <v>884</v>
      </c>
      <c r="G112" s="523">
        <v>-4.092187263336048E-2</v>
      </c>
      <c r="H112" s="523">
        <v>-2.9003109259821427E-2</v>
      </c>
      <c r="I112" s="520">
        <v>0.56484519999999994</v>
      </c>
    </row>
    <row r="113" spans="1:9" ht="19" customHeight="1">
      <c r="A113" s="501" t="s">
        <v>848</v>
      </c>
      <c r="B113" s="501" t="s">
        <v>878</v>
      </c>
      <c r="C113" s="501" t="s">
        <v>306</v>
      </c>
      <c r="D113" s="518" t="s">
        <v>1278</v>
      </c>
      <c r="E113" s="504" t="s">
        <v>68</v>
      </c>
      <c r="F113" s="531" t="s">
        <v>883</v>
      </c>
      <c r="G113" s="523">
        <v>-6.7300624942657594E-2</v>
      </c>
      <c r="H113" s="523">
        <v>-4.4568901780992966E-2</v>
      </c>
      <c r="I113" s="520">
        <v>2.6329980736170211</v>
      </c>
    </row>
    <row r="114" spans="1:9" ht="19" customHeight="1">
      <c r="A114" s="501" t="s">
        <v>848</v>
      </c>
      <c r="B114" s="501" t="s">
        <v>878</v>
      </c>
      <c r="C114" s="501" t="s">
        <v>306</v>
      </c>
      <c r="D114" s="518" t="s">
        <v>1279</v>
      </c>
      <c r="E114" s="504" t="s">
        <v>68</v>
      </c>
      <c r="F114" s="531" t="s">
        <v>882</v>
      </c>
      <c r="G114" s="523">
        <v>-7.2930004449692123E-2</v>
      </c>
      <c r="H114" s="523">
        <v>-7.2728636719697287E-2</v>
      </c>
      <c r="I114" s="520">
        <v>2.6329980736170211</v>
      </c>
    </row>
    <row r="115" spans="1:9" ht="19" customHeight="1">
      <c r="A115" s="501" t="s">
        <v>848</v>
      </c>
      <c r="B115" s="501" t="s">
        <v>878</v>
      </c>
      <c r="C115" s="501" t="s">
        <v>306</v>
      </c>
      <c r="D115" s="518" t="s">
        <v>1280</v>
      </c>
      <c r="E115" s="504" t="s">
        <v>68</v>
      </c>
      <c r="F115" s="531" t="s">
        <v>881</v>
      </c>
      <c r="G115" s="523">
        <v>-5.2492792324332252E-2</v>
      </c>
      <c r="H115" s="523">
        <v>-7.2728636719697287E-2</v>
      </c>
      <c r="I115" s="520">
        <v>2.6329980736170211</v>
      </c>
    </row>
    <row r="116" spans="1:9" ht="19" customHeight="1">
      <c r="A116" s="501" t="s">
        <v>848</v>
      </c>
      <c r="B116" s="501" t="s">
        <v>878</v>
      </c>
      <c r="C116" s="501" t="s">
        <v>306</v>
      </c>
      <c r="D116" s="518" t="s">
        <v>1281</v>
      </c>
      <c r="E116" s="504" t="s">
        <v>68</v>
      </c>
      <c r="F116" s="531" t="s">
        <v>880</v>
      </c>
      <c r="G116" s="523">
        <v>-6.0946076456799517E-2</v>
      </c>
      <c r="H116" s="523">
        <v>-7.2728636719697287E-2</v>
      </c>
      <c r="I116" s="520">
        <v>2.6329980736170211</v>
      </c>
    </row>
    <row r="117" spans="1:9" ht="19" customHeight="1">
      <c r="A117" s="501" t="s">
        <v>848</v>
      </c>
      <c r="B117" s="501" t="s">
        <v>878</v>
      </c>
      <c r="C117" s="501" t="s">
        <v>306</v>
      </c>
      <c r="D117" s="518" t="s">
        <v>1282</v>
      </c>
      <c r="E117" s="504" t="s">
        <v>68</v>
      </c>
      <c r="F117" s="531" t="s">
        <v>879</v>
      </c>
      <c r="G117" s="523">
        <v>-5.2172306413182795E-2</v>
      </c>
      <c r="H117" s="523">
        <v>-7.2728636719697287E-2</v>
      </c>
      <c r="I117" s="520">
        <v>2.6329980736170211</v>
      </c>
    </row>
    <row r="118" spans="1:9" ht="19" customHeight="1">
      <c r="A118" s="501" t="s">
        <v>848</v>
      </c>
      <c r="B118" s="501" t="s">
        <v>878</v>
      </c>
      <c r="C118" s="501" t="s">
        <v>306</v>
      </c>
      <c r="D118" s="518" t="s">
        <v>1283</v>
      </c>
      <c r="E118" s="504" t="s">
        <v>68</v>
      </c>
      <c r="F118" s="531" t="s">
        <v>877</v>
      </c>
      <c r="G118" s="523">
        <v>4.0247908085683404E-2</v>
      </c>
      <c r="H118" s="523">
        <v>-4.6488799721015529E-2</v>
      </c>
      <c r="I118" s="521">
        <v>9.7755339999999996E-2</v>
      </c>
    </row>
    <row r="119" spans="1:9" ht="19" customHeight="1">
      <c r="A119" s="501" t="s">
        <v>848</v>
      </c>
      <c r="B119" s="501" t="s">
        <v>847</v>
      </c>
      <c r="C119" s="501" t="s">
        <v>690</v>
      </c>
      <c r="D119" s="518" t="s">
        <v>1284</v>
      </c>
      <c r="E119" s="504" t="s">
        <v>68</v>
      </c>
      <c r="F119" s="531" t="s">
        <v>876</v>
      </c>
      <c r="G119" s="523">
        <v>1.3560556373264077E-2</v>
      </c>
      <c r="H119" s="523">
        <v>-1.1800225186160751E-2</v>
      </c>
      <c r="I119" s="520">
        <v>4.8919491525423724E-3</v>
      </c>
    </row>
    <row r="120" spans="1:9" ht="19" customHeight="1">
      <c r="A120" s="501" t="s">
        <v>848</v>
      </c>
      <c r="B120" s="501" t="s">
        <v>847</v>
      </c>
      <c r="C120" s="501" t="s">
        <v>690</v>
      </c>
      <c r="D120" s="518" t="s">
        <v>1285</v>
      </c>
      <c r="E120" s="504" t="s">
        <v>68</v>
      </c>
      <c r="F120" s="531" t="s">
        <v>875</v>
      </c>
      <c r="G120" s="523">
        <v>0.11385690155108369</v>
      </c>
      <c r="H120" s="523">
        <v>9.868221314404961E-2</v>
      </c>
      <c r="I120" s="520">
        <v>1.1821186440677965E-2</v>
      </c>
    </row>
    <row r="121" spans="1:9" ht="19" customHeight="1">
      <c r="A121" s="501" t="s">
        <v>848</v>
      </c>
      <c r="B121" s="501" t="s">
        <v>847</v>
      </c>
      <c r="C121" s="501" t="s">
        <v>690</v>
      </c>
      <c r="D121" s="518" t="s">
        <v>1286</v>
      </c>
      <c r="E121" s="504" t="s">
        <v>68</v>
      </c>
      <c r="F121" s="531" t="s">
        <v>874</v>
      </c>
      <c r="G121" s="523">
        <v>6.5720389615092157E-3</v>
      </c>
      <c r="H121" s="523">
        <v>4.5126532602814892E-2</v>
      </c>
      <c r="I121" s="520">
        <v>1.9131355932203392E-3</v>
      </c>
    </row>
    <row r="122" spans="1:9" ht="19" customHeight="1">
      <c r="A122" s="501" t="s">
        <v>848</v>
      </c>
      <c r="B122" s="501" t="s">
        <v>847</v>
      </c>
      <c r="C122" s="501" t="s">
        <v>690</v>
      </c>
      <c r="D122" s="518" t="s">
        <v>1287</v>
      </c>
      <c r="E122" s="504" t="s">
        <v>68</v>
      </c>
      <c r="F122" s="531" t="s">
        <v>873</v>
      </c>
      <c r="G122" s="523">
        <v>-3.1504098202605169E-3</v>
      </c>
      <c r="H122" s="523">
        <v>0.12332291349691556</v>
      </c>
      <c r="I122" s="520">
        <v>1.9478813559322035E-3</v>
      </c>
    </row>
    <row r="123" spans="1:9" ht="19" customHeight="1">
      <c r="A123" s="501" t="s">
        <v>848</v>
      </c>
      <c r="B123" s="501" t="s">
        <v>847</v>
      </c>
      <c r="C123" s="501" t="s">
        <v>690</v>
      </c>
      <c r="D123" s="518" t="s">
        <v>1288</v>
      </c>
      <c r="E123" s="504" t="s">
        <v>68</v>
      </c>
      <c r="F123" s="531" t="s">
        <v>872</v>
      </c>
      <c r="G123" s="523">
        <v>-4.5185629488326662E-2</v>
      </c>
      <c r="H123" s="523">
        <v>-1.1461773002314683E-3</v>
      </c>
      <c r="I123" s="520">
        <v>5.3436440677966102E-3</v>
      </c>
    </row>
    <row r="124" spans="1:9" ht="19" customHeight="1">
      <c r="A124" s="501" t="s">
        <v>848</v>
      </c>
      <c r="B124" s="501" t="s">
        <v>847</v>
      </c>
      <c r="C124" s="501" t="s">
        <v>690</v>
      </c>
      <c r="D124" s="518" t="s">
        <v>1289</v>
      </c>
      <c r="E124" s="504" t="s">
        <v>68</v>
      </c>
      <c r="F124" s="531" t="s">
        <v>871</v>
      </c>
      <c r="G124" s="523">
        <v>-3.3786625330404163E-2</v>
      </c>
      <c r="H124" s="523">
        <v>-7.2802936431861212E-2</v>
      </c>
      <c r="I124" s="536">
        <v>2.8249199999999999E-3</v>
      </c>
    </row>
    <row r="125" spans="1:9" ht="19" customHeight="1">
      <c r="A125" s="501" t="s">
        <v>848</v>
      </c>
      <c r="B125" s="501" t="s">
        <v>847</v>
      </c>
      <c r="C125" s="501" t="s">
        <v>690</v>
      </c>
      <c r="D125" s="518" t="s">
        <v>1290</v>
      </c>
      <c r="E125" s="504" t="s">
        <v>68</v>
      </c>
      <c r="F125" s="531" t="s">
        <v>870</v>
      </c>
      <c r="G125" s="523">
        <v>-5.4373273772099988E-2</v>
      </c>
      <c r="H125" s="523">
        <v>2.5570318375532714E-2</v>
      </c>
      <c r="I125" s="536">
        <v>0.11185928000000001</v>
      </c>
    </row>
    <row r="126" spans="1:9" ht="19" customHeight="1">
      <c r="A126" s="501" t="s">
        <v>848</v>
      </c>
      <c r="B126" s="501" t="s">
        <v>847</v>
      </c>
      <c r="C126" s="501" t="s">
        <v>690</v>
      </c>
      <c r="D126" s="518" t="s">
        <v>1291</v>
      </c>
      <c r="E126" s="504" t="s">
        <v>68</v>
      </c>
      <c r="F126" s="531" t="s">
        <v>869</v>
      </c>
      <c r="G126" s="523">
        <v>-2.7137342091353402E-2</v>
      </c>
      <c r="H126" s="523">
        <v>4.939424197552237E-2</v>
      </c>
      <c r="I126" s="536">
        <v>4.1904159999999996E-2</v>
      </c>
    </row>
    <row r="127" spans="1:9" ht="19" customHeight="1">
      <c r="A127" s="501" t="s">
        <v>848</v>
      </c>
      <c r="B127" s="501" t="s">
        <v>847</v>
      </c>
      <c r="C127" s="501" t="s">
        <v>690</v>
      </c>
      <c r="D127" s="518" t="s">
        <v>927</v>
      </c>
      <c r="E127" s="504" t="s">
        <v>68</v>
      </c>
      <c r="F127" s="531" t="s">
        <v>868</v>
      </c>
      <c r="G127" s="523">
        <v>-1.5337799627177167E-2</v>
      </c>
      <c r="H127" s="523">
        <v>8.2778712015347811E-3</v>
      </c>
      <c r="I127" s="536">
        <v>3.013012E-2</v>
      </c>
    </row>
    <row r="128" spans="1:9" ht="19" customHeight="1">
      <c r="A128" s="501" t="s">
        <v>848</v>
      </c>
      <c r="B128" s="501" t="s">
        <v>847</v>
      </c>
      <c r="C128" s="501" t="s">
        <v>690</v>
      </c>
      <c r="D128" s="518" t="s">
        <v>921</v>
      </c>
      <c r="E128" s="504" t="s">
        <v>68</v>
      </c>
      <c r="F128" s="531" t="s">
        <v>867</v>
      </c>
      <c r="G128" s="523">
        <v>-3.1469476666677966E-2</v>
      </c>
      <c r="H128" s="523">
        <v>8.2778712015347811E-3</v>
      </c>
      <c r="I128" s="536">
        <v>9.7595439999999992E-2</v>
      </c>
    </row>
    <row r="129" spans="1:9" ht="19" customHeight="1">
      <c r="A129" s="501" t="s">
        <v>848</v>
      </c>
      <c r="B129" s="501" t="s">
        <v>861</v>
      </c>
      <c r="C129" s="501" t="s">
        <v>690</v>
      </c>
      <c r="D129" s="518" t="s">
        <v>1292</v>
      </c>
      <c r="E129" s="504" t="s">
        <v>68</v>
      </c>
      <c r="F129" s="531" t="s">
        <v>866</v>
      </c>
      <c r="G129" s="523">
        <v>5.0026896180742332E-2</v>
      </c>
      <c r="H129" s="519">
        <v>6.719868234367378E-2</v>
      </c>
      <c r="I129" s="507">
        <v>0.12454545454545453</v>
      </c>
    </row>
    <row r="130" spans="1:9" ht="19" customHeight="1">
      <c r="A130" s="501" t="s">
        <v>848</v>
      </c>
      <c r="B130" s="501" t="s">
        <v>861</v>
      </c>
      <c r="C130" s="501" t="s">
        <v>690</v>
      </c>
      <c r="D130" s="518" t="s">
        <v>1293</v>
      </c>
      <c r="E130" s="504" t="s">
        <v>68</v>
      </c>
      <c r="F130" s="531" t="s">
        <v>865</v>
      </c>
      <c r="G130" s="523">
        <v>0.18688426709125289</v>
      </c>
      <c r="H130" s="519">
        <v>6.719868234367378E-2</v>
      </c>
      <c r="I130" s="507">
        <v>0.12454545454545453</v>
      </c>
    </row>
    <row r="131" spans="1:9" ht="19" customHeight="1">
      <c r="A131" s="501" t="s">
        <v>848</v>
      </c>
      <c r="B131" s="501" t="s">
        <v>861</v>
      </c>
      <c r="C131" s="501" t="s">
        <v>690</v>
      </c>
      <c r="D131" s="518" t="s">
        <v>1294</v>
      </c>
      <c r="E131" s="504" t="s">
        <v>68</v>
      </c>
      <c r="F131" s="531" t="s">
        <v>864</v>
      </c>
      <c r="G131" s="523">
        <v>3.3955652226451555E-2</v>
      </c>
      <c r="H131" s="519">
        <v>6.719868234367378E-2</v>
      </c>
      <c r="I131" s="507">
        <v>0.12454545454545453</v>
      </c>
    </row>
    <row r="132" spans="1:9" ht="19" customHeight="1">
      <c r="A132" s="501" t="s">
        <v>848</v>
      </c>
      <c r="B132" s="501" t="s">
        <v>861</v>
      </c>
      <c r="C132" s="501" t="s">
        <v>690</v>
      </c>
      <c r="D132" s="518" t="s">
        <v>1295</v>
      </c>
      <c r="E132" s="504" t="s">
        <v>68</v>
      </c>
      <c r="F132" s="531" t="s">
        <v>863</v>
      </c>
      <c r="G132" s="523">
        <v>-4.8085485307212822E-2</v>
      </c>
      <c r="H132" s="519">
        <v>6.719868234367378E-2</v>
      </c>
      <c r="I132" s="507">
        <v>0.12454545454545453</v>
      </c>
    </row>
    <row r="133" spans="1:9" ht="19" customHeight="1">
      <c r="A133" s="501" t="s">
        <v>848</v>
      </c>
      <c r="B133" s="501" t="s">
        <v>861</v>
      </c>
      <c r="C133" s="501" t="s">
        <v>690</v>
      </c>
      <c r="D133" s="518" t="s">
        <v>1296</v>
      </c>
      <c r="E133" s="504" t="s">
        <v>68</v>
      </c>
      <c r="F133" s="531" t="s">
        <v>862</v>
      </c>
      <c r="G133" s="523">
        <v>0.17116432281768654</v>
      </c>
      <c r="H133" s="519">
        <v>6.719868234367378E-2</v>
      </c>
      <c r="I133" s="507">
        <v>0.12454545454545453</v>
      </c>
    </row>
    <row r="134" spans="1:9" ht="19" customHeight="1">
      <c r="A134" s="501" t="s">
        <v>848</v>
      </c>
      <c r="B134" s="501" t="s">
        <v>861</v>
      </c>
      <c r="C134" s="501" t="s">
        <v>690</v>
      </c>
      <c r="D134" s="518" t="s">
        <v>1297</v>
      </c>
      <c r="E134" s="504" t="s">
        <v>68</v>
      </c>
      <c r="F134" s="531" t="s">
        <v>860</v>
      </c>
      <c r="G134" s="523">
        <v>1.0126612908104352E-2</v>
      </c>
      <c r="H134" s="519">
        <v>6.719868234367378E-2</v>
      </c>
      <c r="I134" s="507">
        <v>0.12454545454545453</v>
      </c>
    </row>
    <row r="135" spans="1:9" ht="19" customHeight="1">
      <c r="A135" s="501" t="s">
        <v>848</v>
      </c>
      <c r="B135" s="501" t="s">
        <v>847</v>
      </c>
      <c r="C135" s="501" t="s">
        <v>713</v>
      </c>
      <c r="D135" s="518" t="s">
        <v>1298</v>
      </c>
      <c r="E135" s="504" t="s">
        <v>68</v>
      </c>
      <c r="F135" s="531" t="s">
        <v>859</v>
      </c>
      <c r="G135" s="523">
        <v>0.26751262462773528</v>
      </c>
      <c r="H135" s="523">
        <v>0.12105926860025219</v>
      </c>
      <c r="I135" s="536">
        <v>3.2000000000000003E-4</v>
      </c>
    </row>
    <row r="136" spans="1:9" ht="19" customHeight="1">
      <c r="A136" s="501" t="s">
        <v>848</v>
      </c>
      <c r="B136" s="501" t="s">
        <v>847</v>
      </c>
      <c r="C136" s="501" t="s">
        <v>713</v>
      </c>
      <c r="D136" s="518" t="s">
        <v>1299</v>
      </c>
      <c r="E136" s="504" t="s">
        <v>68</v>
      </c>
      <c r="F136" s="531" t="s">
        <v>858</v>
      </c>
      <c r="G136" s="523">
        <v>1.553452764932188E-2</v>
      </c>
      <c r="H136" s="523">
        <v>0.10987977306799143</v>
      </c>
      <c r="I136" s="535">
        <v>1.304E-3</v>
      </c>
    </row>
    <row r="137" spans="1:9" ht="19" customHeight="1">
      <c r="A137" s="501" t="s">
        <v>848</v>
      </c>
      <c r="B137" s="501" t="s">
        <v>847</v>
      </c>
      <c r="C137" s="501" t="s">
        <v>713</v>
      </c>
      <c r="D137" s="518" t="s">
        <v>1300</v>
      </c>
      <c r="E137" s="504" t="s">
        <v>68</v>
      </c>
      <c r="F137" s="531" t="s">
        <v>857</v>
      </c>
      <c r="G137" s="523">
        <v>3.7022410223280428E-2</v>
      </c>
      <c r="H137" s="523">
        <v>-1.641037856042897E-2</v>
      </c>
      <c r="I137" s="535">
        <v>5.2240000000000003E-3</v>
      </c>
    </row>
    <row r="138" spans="1:9" ht="19" customHeight="1">
      <c r="A138" s="501" t="s">
        <v>848</v>
      </c>
      <c r="B138" s="501" t="s">
        <v>847</v>
      </c>
      <c r="C138" s="501" t="s">
        <v>713</v>
      </c>
      <c r="D138" s="518" t="s">
        <v>1301</v>
      </c>
      <c r="E138" s="504" t="s">
        <v>68</v>
      </c>
      <c r="F138" s="531" t="s">
        <v>856</v>
      </c>
      <c r="G138" s="523">
        <v>-4.6168191179418068E-2</v>
      </c>
      <c r="H138" s="523">
        <v>-2.4341210319132289E-2</v>
      </c>
      <c r="I138" s="535">
        <v>1.1668E-2</v>
      </c>
    </row>
    <row r="139" spans="1:9" ht="19" customHeight="1">
      <c r="A139" s="501" t="s">
        <v>848</v>
      </c>
      <c r="B139" s="501" t="s">
        <v>847</v>
      </c>
      <c r="C139" s="501" t="s">
        <v>713</v>
      </c>
      <c r="D139" s="518" t="s">
        <v>1302</v>
      </c>
      <c r="E139" s="504" t="s">
        <v>68</v>
      </c>
      <c r="F139" s="531" t="s">
        <v>855</v>
      </c>
      <c r="G139" s="523">
        <v>1.2562455389007852E-2</v>
      </c>
      <c r="H139" s="523">
        <v>0.12076312856487249</v>
      </c>
      <c r="I139" s="535">
        <v>8.1572000000000006E-2</v>
      </c>
    </row>
    <row r="140" spans="1:9" ht="19" customHeight="1">
      <c r="A140" s="501" t="s">
        <v>848</v>
      </c>
      <c r="B140" s="501" t="s">
        <v>847</v>
      </c>
      <c r="C140" s="501" t="s">
        <v>713</v>
      </c>
      <c r="D140" s="518" t="s">
        <v>1303</v>
      </c>
      <c r="E140" s="504" t="s">
        <v>68</v>
      </c>
      <c r="F140" s="531" t="s">
        <v>854</v>
      </c>
      <c r="G140" s="523">
        <v>-6.8047513878111386E-3</v>
      </c>
      <c r="H140" s="523">
        <v>0.14128728414442698</v>
      </c>
      <c r="I140" s="535">
        <v>5.2800000000000004E-4</v>
      </c>
    </row>
    <row r="141" spans="1:9" ht="19" customHeight="1">
      <c r="A141" s="501" t="s">
        <v>848</v>
      </c>
      <c r="B141" s="501" t="s">
        <v>847</v>
      </c>
      <c r="C141" s="501" t="s">
        <v>713</v>
      </c>
      <c r="D141" s="518" t="s">
        <v>1304</v>
      </c>
      <c r="E141" s="504" t="s">
        <v>68</v>
      </c>
      <c r="F141" s="531" t="s">
        <v>853</v>
      </c>
      <c r="G141" s="523">
        <v>-1.8643587754384669E-2</v>
      </c>
      <c r="H141" s="523">
        <v>-6.0357047877207144E-2</v>
      </c>
      <c r="I141" s="535">
        <v>0.296684</v>
      </c>
    </row>
    <row r="142" spans="1:9" ht="19" customHeight="1">
      <c r="A142" s="501" t="s">
        <v>848</v>
      </c>
      <c r="B142" s="501" t="s">
        <v>847</v>
      </c>
      <c r="C142" s="501" t="s">
        <v>713</v>
      </c>
      <c r="D142" s="518" t="s">
        <v>1305</v>
      </c>
      <c r="E142" s="504" t="s">
        <v>68</v>
      </c>
      <c r="F142" s="531" t="s">
        <v>852</v>
      </c>
      <c r="G142" s="523">
        <v>-2.1541877090823676E-2</v>
      </c>
      <c r="H142" s="523">
        <v>-5.0250175981794896E-2</v>
      </c>
      <c r="I142" s="535">
        <v>1.428E-3</v>
      </c>
    </row>
    <row r="143" spans="1:9" ht="19" customHeight="1">
      <c r="A143" s="501" t="s">
        <v>848</v>
      </c>
      <c r="B143" s="501" t="s">
        <v>847</v>
      </c>
      <c r="C143" s="501" t="s">
        <v>713</v>
      </c>
      <c r="D143" s="518" t="s">
        <v>1306</v>
      </c>
      <c r="E143" s="504" t="s">
        <v>68</v>
      </c>
      <c r="F143" s="531" t="s">
        <v>851</v>
      </c>
      <c r="G143" s="523">
        <v>-2.8362707570056229E-2</v>
      </c>
      <c r="H143" s="523">
        <v>4.7764320602383004E-2</v>
      </c>
      <c r="I143" s="535">
        <v>3.1519999999999999E-3</v>
      </c>
    </row>
    <row r="144" spans="1:9" ht="19" customHeight="1">
      <c r="A144" s="501" t="s">
        <v>848</v>
      </c>
      <c r="B144" s="501" t="s">
        <v>847</v>
      </c>
      <c r="C144" s="501" t="s">
        <v>713</v>
      </c>
      <c r="D144" s="518" t="s">
        <v>1307</v>
      </c>
      <c r="E144" s="504" t="s">
        <v>68</v>
      </c>
      <c r="F144" s="531" t="s">
        <v>850</v>
      </c>
      <c r="G144" s="523">
        <v>4.8062303087010864E-2</v>
      </c>
      <c r="H144" s="523">
        <v>0.14270113225430908</v>
      </c>
      <c r="I144" s="535">
        <v>1.476812</v>
      </c>
    </row>
    <row r="145" spans="1:9" ht="19" customHeight="1">
      <c r="A145" s="501" t="s">
        <v>848</v>
      </c>
      <c r="B145" s="501" t="s">
        <v>847</v>
      </c>
      <c r="C145" s="501" t="s">
        <v>713</v>
      </c>
      <c r="D145" s="518" t="s">
        <v>1308</v>
      </c>
      <c r="E145" s="504" t="s">
        <v>68</v>
      </c>
      <c r="F145" s="531" t="s">
        <v>849</v>
      </c>
      <c r="G145" s="523">
        <v>-2.8938967867011441E-2</v>
      </c>
      <c r="H145" s="523">
        <v>4.4319650405572987E-2</v>
      </c>
      <c r="I145" s="535">
        <v>2.0318640000000001</v>
      </c>
    </row>
    <row r="146" spans="1:9" ht="19" customHeight="1">
      <c r="A146" s="501" t="s">
        <v>848</v>
      </c>
      <c r="B146" s="501" t="s">
        <v>847</v>
      </c>
      <c r="C146" s="501" t="s">
        <v>713</v>
      </c>
      <c r="D146" s="518" t="s">
        <v>1309</v>
      </c>
      <c r="E146" s="504" t="s">
        <v>68</v>
      </c>
      <c r="F146" s="531" t="s">
        <v>846</v>
      </c>
      <c r="G146" s="523">
        <v>1.4196236526099737</v>
      </c>
      <c r="H146" s="523">
        <v>1.5726139613714212</v>
      </c>
      <c r="I146" s="535">
        <v>0.18787599999999999</v>
      </c>
    </row>
    <row r="147" spans="1:9" ht="19" customHeight="1">
      <c r="A147" s="501" t="s">
        <v>61</v>
      </c>
      <c r="B147" s="501" t="s">
        <v>802</v>
      </c>
      <c r="C147" s="501" t="s">
        <v>306</v>
      </c>
      <c r="D147" s="501" t="s">
        <v>838</v>
      </c>
      <c r="E147" s="504" t="s">
        <v>68</v>
      </c>
      <c r="F147" s="516" t="s">
        <v>845</v>
      </c>
      <c r="G147" s="523">
        <v>-7.0854120522143987E-2</v>
      </c>
      <c r="H147" s="523">
        <v>0.52266635736503564</v>
      </c>
      <c r="I147" s="508">
        <v>1.4169350000000001E-2</v>
      </c>
    </row>
    <row r="148" spans="1:9">
      <c r="A148" s="501" t="s">
        <v>61</v>
      </c>
      <c r="B148" s="501" t="s">
        <v>802</v>
      </c>
      <c r="C148" s="501" t="s">
        <v>306</v>
      </c>
      <c r="D148" s="501" t="s">
        <v>802</v>
      </c>
      <c r="E148" s="504" t="s">
        <v>68</v>
      </c>
      <c r="F148" s="516" t="s">
        <v>844</v>
      </c>
      <c r="G148" s="523">
        <v>-2.7625611120928314E-2</v>
      </c>
      <c r="H148" s="523">
        <v>8.9020771513353095E-2</v>
      </c>
      <c r="I148" s="508">
        <v>0.03</v>
      </c>
    </row>
    <row r="149" spans="1:9">
      <c r="A149" s="501" t="s">
        <v>61</v>
      </c>
      <c r="B149" s="501" t="s">
        <v>843</v>
      </c>
      <c r="C149" s="501" t="s">
        <v>577</v>
      </c>
      <c r="D149" s="517" t="s">
        <v>842</v>
      </c>
      <c r="E149" s="504" t="s">
        <v>68</v>
      </c>
      <c r="F149" s="532" t="s">
        <v>841</v>
      </c>
      <c r="G149" s="523">
        <v>-2.5940198173654512E-2</v>
      </c>
      <c r="H149" s="523">
        <v>0.18641253245953437</v>
      </c>
      <c r="I149" s="508">
        <v>0.254</v>
      </c>
    </row>
    <row r="150" spans="1:9">
      <c r="A150" s="501" t="s">
        <v>61</v>
      </c>
      <c r="B150" s="501" t="s">
        <v>809</v>
      </c>
      <c r="C150" s="501" t="s">
        <v>306</v>
      </c>
      <c r="D150" s="501" t="s">
        <v>809</v>
      </c>
      <c r="E150" s="504" t="s">
        <v>68</v>
      </c>
      <c r="F150" s="516" t="s">
        <v>840</v>
      </c>
      <c r="G150" s="523">
        <v>-3.1049308316393531E-2</v>
      </c>
      <c r="H150" s="523">
        <v>4.284887087434857E-2</v>
      </c>
      <c r="I150" s="508">
        <v>0.48</v>
      </c>
    </row>
    <row r="151" spans="1:9">
      <c r="A151" s="501" t="s">
        <v>61</v>
      </c>
      <c r="B151" s="501" t="s">
        <v>802</v>
      </c>
      <c r="C151" s="501" t="s">
        <v>690</v>
      </c>
      <c r="D151" s="501" t="s">
        <v>838</v>
      </c>
      <c r="E151" s="504" t="s">
        <v>68</v>
      </c>
      <c r="F151" s="516" t="s">
        <v>839</v>
      </c>
      <c r="G151" s="523">
        <v>4.5089493697315831E-2</v>
      </c>
      <c r="H151" s="523">
        <v>0.44259457222327597</v>
      </c>
      <c r="I151" s="508">
        <v>1.80497</v>
      </c>
    </row>
    <row r="152" spans="1:9">
      <c r="A152" s="501" t="s">
        <v>61</v>
      </c>
      <c r="B152" s="501" t="s">
        <v>802</v>
      </c>
      <c r="C152" s="501" t="s">
        <v>577</v>
      </c>
      <c r="D152" s="501" t="s">
        <v>838</v>
      </c>
      <c r="E152" s="504" t="s">
        <v>68</v>
      </c>
      <c r="F152" s="516" t="s">
        <v>837</v>
      </c>
      <c r="G152" s="523">
        <v>-6.5447995732064945E-2</v>
      </c>
      <c r="H152" s="523">
        <v>1.3165467625899308</v>
      </c>
      <c r="I152" s="508">
        <v>1.82</v>
      </c>
    </row>
    <row r="153" spans="1:9">
      <c r="A153" s="501" t="s">
        <v>61</v>
      </c>
      <c r="B153" s="501" t="s">
        <v>805</v>
      </c>
      <c r="C153" s="501" t="s">
        <v>654</v>
      </c>
      <c r="D153" s="501" t="s">
        <v>830</v>
      </c>
      <c r="E153" s="504" t="s">
        <v>652</v>
      </c>
      <c r="F153" s="516" t="s">
        <v>836</v>
      </c>
      <c r="G153" s="544">
        <v>-4.8057887976301172E-2</v>
      </c>
      <c r="H153" s="523">
        <v>-1.3572395933482995E-2</v>
      </c>
      <c r="I153" s="508">
        <v>2.069</v>
      </c>
    </row>
    <row r="154" spans="1:9">
      <c r="A154" s="501" t="s">
        <v>61</v>
      </c>
      <c r="B154" s="501" t="s">
        <v>802</v>
      </c>
      <c r="C154" s="501" t="s">
        <v>654</v>
      </c>
      <c r="D154" s="501" t="s">
        <v>802</v>
      </c>
      <c r="E154" s="501" t="s">
        <v>652</v>
      </c>
      <c r="F154" s="516" t="s">
        <v>835</v>
      </c>
      <c r="G154" s="544">
        <v>-4.7838503253503613E-3</v>
      </c>
      <c r="H154" s="544">
        <v>0.16444102198098026</v>
      </c>
      <c r="I154" s="508">
        <v>2.25</v>
      </c>
    </row>
    <row r="155" spans="1:9">
      <c r="A155" s="501" t="s">
        <v>61</v>
      </c>
      <c r="B155" s="501" t="s">
        <v>809</v>
      </c>
      <c r="C155" s="501" t="s">
        <v>690</v>
      </c>
      <c r="D155" s="501" t="s">
        <v>809</v>
      </c>
      <c r="E155" s="504" t="s">
        <v>68</v>
      </c>
      <c r="F155" s="516" t="s">
        <v>834</v>
      </c>
      <c r="G155" s="523">
        <v>-5.3064044772413877E-3</v>
      </c>
      <c r="H155" s="523">
        <v>0.11855873615766441</v>
      </c>
      <c r="I155" s="508">
        <v>2.83</v>
      </c>
    </row>
    <row r="156" spans="1:9">
      <c r="A156" s="501" t="s">
        <v>61</v>
      </c>
      <c r="B156" s="501" t="s">
        <v>805</v>
      </c>
      <c r="C156" s="501" t="s">
        <v>713</v>
      </c>
      <c r="D156" s="501" t="s">
        <v>815</v>
      </c>
      <c r="E156" s="504" t="s">
        <v>68</v>
      </c>
      <c r="F156" s="516" t="s">
        <v>833</v>
      </c>
      <c r="G156" s="544">
        <v>0.13440724893027939</v>
      </c>
      <c r="H156" s="523">
        <v>3.7347893915756631</v>
      </c>
      <c r="I156" s="508">
        <v>5.36</v>
      </c>
    </row>
    <row r="157" spans="1:9">
      <c r="A157" s="501" t="s">
        <v>61</v>
      </c>
      <c r="B157" s="501" t="s">
        <v>802</v>
      </c>
      <c r="C157" s="501" t="s">
        <v>690</v>
      </c>
      <c r="D157" s="501" t="s">
        <v>802</v>
      </c>
      <c r="E157" s="504" t="s">
        <v>68</v>
      </c>
      <c r="F157" s="516" t="s">
        <v>832</v>
      </c>
      <c r="G157" s="523">
        <v>-1.0685877136415351E-2</v>
      </c>
      <c r="H157" s="523">
        <v>0.40322409587442992</v>
      </c>
      <c r="I157" s="508">
        <v>5.84</v>
      </c>
    </row>
    <row r="158" spans="1:9">
      <c r="A158" s="501" t="s">
        <v>61</v>
      </c>
      <c r="B158" s="501" t="s">
        <v>831</v>
      </c>
      <c r="C158" s="501" t="s">
        <v>713</v>
      </c>
      <c r="D158" s="501" t="s">
        <v>831</v>
      </c>
      <c r="E158" s="504" t="s">
        <v>68</v>
      </c>
      <c r="F158" s="516" t="s">
        <v>715</v>
      </c>
      <c r="G158" s="523">
        <v>3.5803885189941091E-2</v>
      </c>
      <c r="H158" s="523">
        <v>9.9487511872137294E-2</v>
      </c>
      <c r="I158" s="508">
        <v>7.9276999999999997</v>
      </c>
    </row>
    <row r="159" spans="1:9">
      <c r="A159" s="501" t="s">
        <v>61</v>
      </c>
      <c r="B159" s="501" t="s">
        <v>805</v>
      </c>
      <c r="C159" s="501" t="s">
        <v>654</v>
      </c>
      <c r="D159" s="501" t="s">
        <v>830</v>
      </c>
      <c r="E159" s="504" t="s">
        <v>655</v>
      </c>
      <c r="F159" s="516" t="s">
        <v>829</v>
      </c>
      <c r="G159" s="544">
        <v>-3.0032087878231637E-3</v>
      </c>
      <c r="H159" s="523">
        <v>0.23819364185188752</v>
      </c>
      <c r="I159" s="508">
        <v>8.9510000000000005</v>
      </c>
    </row>
    <row r="160" spans="1:9">
      <c r="A160" s="501" t="s">
        <v>61</v>
      </c>
      <c r="B160" s="501" t="s">
        <v>805</v>
      </c>
      <c r="C160" s="501" t="s">
        <v>654</v>
      </c>
      <c r="D160" s="501" t="s">
        <v>804</v>
      </c>
      <c r="E160" s="504" t="s">
        <v>655</v>
      </c>
      <c r="F160" s="516" t="s">
        <v>828</v>
      </c>
      <c r="G160" s="523">
        <v>13.528075181630509</v>
      </c>
      <c r="H160" s="523">
        <v>0.16137824321522665</v>
      </c>
      <c r="I160" s="508">
        <v>9.3480000000000008</v>
      </c>
    </row>
    <row r="161" spans="1:9">
      <c r="A161" s="501" t="s">
        <v>61</v>
      </c>
      <c r="B161" s="501" t="s">
        <v>809</v>
      </c>
      <c r="C161" s="501" t="s">
        <v>577</v>
      </c>
      <c r="D161" s="501" t="s">
        <v>827</v>
      </c>
      <c r="E161" s="504" t="s">
        <v>68</v>
      </c>
      <c r="F161" s="516" t="s">
        <v>826</v>
      </c>
      <c r="G161" s="523">
        <v>3.4608443327789382E-2</v>
      </c>
      <c r="H161" s="523">
        <v>0.32361329871014416</v>
      </c>
      <c r="I161" s="508">
        <v>14.6</v>
      </c>
    </row>
    <row r="162" spans="1:9">
      <c r="A162" s="501" t="s">
        <v>61</v>
      </c>
      <c r="B162" s="501" t="s">
        <v>802</v>
      </c>
      <c r="C162" s="501" t="s">
        <v>713</v>
      </c>
      <c r="D162" s="501" t="s">
        <v>802</v>
      </c>
      <c r="E162" s="504" t="s">
        <v>68</v>
      </c>
      <c r="F162" s="516" t="s">
        <v>825</v>
      </c>
      <c r="G162" s="523">
        <v>-2.5021689913805052E-2</v>
      </c>
      <c r="H162" s="523">
        <v>0.94181922745135616</v>
      </c>
      <c r="I162" s="508">
        <v>17.03</v>
      </c>
    </row>
    <row r="163" spans="1:9">
      <c r="A163" s="501" t="s">
        <v>61</v>
      </c>
      <c r="B163" s="501" t="s">
        <v>805</v>
      </c>
      <c r="C163" s="501" t="s">
        <v>654</v>
      </c>
      <c r="D163" s="501" t="s">
        <v>815</v>
      </c>
      <c r="E163" s="504" t="s">
        <v>652</v>
      </c>
      <c r="F163" s="516" t="s">
        <v>824</v>
      </c>
      <c r="G163" s="544">
        <v>-6.3842086552558252E-4</v>
      </c>
      <c r="H163" s="523">
        <v>-3.4846008602941875E-3</v>
      </c>
      <c r="I163" s="508">
        <v>18.001919999999998</v>
      </c>
    </row>
    <row r="164" spans="1:9">
      <c r="A164" s="501" t="s">
        <v>61</v>
      </c>
      <c r="B164" s="501" t="s">
        <v>809</v>
      </c>
      <c r="C164" s="501" t="s">
        <v>654</v>
      </c>
      <c r="D164" s="501" t="s">
        <v>809</v>
      </c>
      <c r="E164" s="501" t="s">
        <v>655</v>
      </c>
      <c r="F164" s="516" t="s">
        <v>823</v>
      </c>
      <c r="G164" s="523">
        <v>-1.7943411513894284E-2</v>
      </c>
      <c r="H164" s="523">
        <v>-2.4794802636863267E-3</v>
      </c>
      <c r="I164" s="537">
        <v>18.28</v>
      </c>
    </row>
    <row r="165" spans="1:9">
      <c r="A165" s="501" t="s">
        <v>61</v>
      </c>
      <c r="B165" s="501" t="s">
        <v>805</v>
      </c>
      <c r="C165" s="501" t="s">
        <v>713</v>
      </c>
      <c r="D165" s="501" t="s">
        <v>822</v>
      </c>
      <c r="E165" s="504" t="s">
        <v>68</v>
      </c>
      <c r="F165" s="516" t="s">
        <v>821</v>
      </c>
      <c r="G165" s="523">
        <v>8.7156815395474971E-2</v>
      </c>
      <c r="H165" s="523">
        <v>1.2686064318529855</v>
      </c>
      <c r="I165" s="508">
        <v>19.04</v>
      </c>
    </row>
    <row r="166" spans="1:9">
      <c r="A166" s="501" t="s">
        <v>61</v>
      </c>
      <c r="B166" s="501" t="s">
        <v>805</v>
      </c>
      <c r="C166" s="501" t="s">
        <v>654</v>
      </c>
      <c r="D166" s="501" t="s">
        <v>807</v>
      </c>
      <c r="E166" s="504" t="s">
        <v>655</v>
      </c>
      <c r="F166" s="516" t="s">
        <v>820</v>
      </c>
      <c r="G166" s="544">
        <v>-4.2106276297121402E-2</v>
      </c>
      <c r="H166" s="544">
        <v>0.65589396083103735</v>
      </c>
      <c r="I166" s="508">
        <v>19.72</v>
      </c>
    </row>
    <row r="167" spans="1:9">
      <c r="A167" s="501" t="s">
        <v>61</v>
      </c>
      <c r="B167" s="501" t="s">
        <v>809</v>
      </c>
      <c r="C167" s="501" t="s">
        <v>713</v>
      </c>
      <c r="D167" s="501" t="s">
        <v>809</v>
      </c>
      <c r="E167" s="504" t="s">
        <v>68</v>
      </c>
      <c r="F167" s="516" t="s">
        <v>819</v>
      </c>
      <c r="G167" s="523">
        <v>-2.8275181293889493E-2</v>
      </c>
      <c r="H167" s="523">
        <v>6.2241870136944683E-2</v>
      </c>
      <c r="I167" s="508">
        <v>20.190000000000001</v>
      </c>
    </row>
    <row r="168" spans="1:9">
      <c r="A168" s="501" t="s">
        <v>61</v>
      </c>
      <c r="B168" s="501" t="s">
        <v>805</v>
      </c>
      <c r="C168" s="501" t="s">
        <v>654</v>
      </c>
      <c r="D168" s="501" t="s">
        <v>813</v>
      </c>
      <c r="E168" s="504" t="s">
        <v>652</v>
      </c>
      <c r="F168" s="516" t="s">
        <v>818</v>
      </c>
      <c r="G168" s="544">
        <v>-4.1911348413948391E-2</v>
      </c>
      <c r="H168" s="544">
        <v>0.15673778276791395</v>
      </c>
      <c r="I168" s="508">
        <v>22.128466</v>
      </c>
    </row>
    <row r="169" spans="1:9">
      <c r="A169" s="501" t="s">
        <v>61</v>
      </c>
      <c r="B169" s="501" t="s">
        <v>817</v>
      </c>
      <c r="C169" s="501" t="s">
        <v>713</v>
      </c>
      <c r="D169" s="501" t="s">
        <v>817</v>
      </c>
      <c r="E169" s="504" t="s">
        <v>68</v>
      </c>
      <c r="F169" s="516" t="s">
        <v>816</v>
      </c>
      <c r="G169" s="523">
        <v>0.25166952148692595</v>
      </c>
      <c r="H169" s="523">
        <v>0.36818119375437774</v>
      </c>
      <c r="I169" s="508">
        <v>24.067879999999999</v>
      </c>
    </row>
    <row r="170" spans="1:9">
      <c r="A170" s="501" t="s">
        <v>61</v>
      </c>
      <c r="B170" s="501" t="s">
        <v>805</v>
      </c>
      <c r="C170" s="501" t="s">
        <v>654</v>
      </c>
      <c r="D170" s="501" t="s">
        <v>815</v>
      </c>
      <c r="E170" s="504" t="s">
        <v>655</v>
      </c>
      <c r="F170" s="516" t="s">
        <v>814</v>
      </c>
      <c r="G170" s="544">
        <v>1.5756852954954021E-3</v>
      </c>
      <c r="H170" s="523">
        <v>1.2928547111179977E-2</v>
      </c>
      <c r="I170" s="508">
        <v>26.812999999999999</v>
      </c>
    </row>
    <row r="171" spans="1:9">
      <c r="A171" s="501" t="s">
        <v>61</v>
      </c>
      <c r="B171" s="501" t="s">
        <v>805</v>
      </c>
      <c r="C171" s="501" t="s">
        <v>654</v>
      </c>
      <c r="D171" s="501" t="s">
        <v>813</v>
      </c>
      <c r="E171" s="504" t="s">
        <v>655</v>
      </c>
      <c r="F171" s="516" t="s">
        <v>812</v>
      </c>
      <c r="G171" s="544">
        <v>-2.5051743424183787E-2</v>
      </c>
      <c r="H171" s="544">
        <v>0.63563402889245613</v>
      </c>
      <c r="I171" s="508">
        <v>28.398</v>
      </c>
    </row>
    <row r="172" spans="1:9">
      <c r="A172" s="501" t="s">
        <v>61</v>
      </c>
      <c r="B172" s="501" t="s">
        <v>802</v>
      </c>
      <c r="C172" s="501" t="s">
        <v>577</v>
      </c>
      <c r="D172" s="501" t="s">
        <v>811</v>
      </c>
      <c r="E172" s="504" t="s">
        <v>68</v>
      </c>
      <c r="F172" s="516" t="s">
        <v>810</v>
      </c>
      <c r="G172" s="523">
        <v>-2.247191011235955E-2</v>
      </c>
      <c r="H172" s="523">
        <v>5.2956664293165992E-2</v>
      </c>
      <c r="I172" s="508">
        <v>29.72</v>
      </c>
    </row>
    <row r="173" spans="1:9">
      <c r="A173" s="501" t="s">
        <v>61</v>
      </c>
      <c r="B173" s="501" t="s">
        <v>809</v>
      </c>
      <c r="C173" s="501" t="s">
        <v>654</v>
      </c>
      <c r="D173" s="501" t="s">
        <v>809</v>
      </c>
      <c r="E173" s="501" t="s">
        <v>652</v>
      </c>
      <c r="F173" s="516" t="s">
        <v>808</v>
      </c>
      <c r="G173" s="523">
        <v>3.2078244676623534E-2</v>
      </c>
      <c r="H173" s="523">
        <v>8.3777364259296841E-2</v>
      </c>
      <c r="I173" s="508">
        <v>36.979999999999997</v>
      </c>
    </row>
    <row r="174" spans="1:9">
      <c r="A174" s="501" t="s">
        <v>61</v>
      </c>
      <c r="B174" s="501" t="s">
        <v>805</v>
      </c>
      <c r="C174" s="501" t="s">
        <v>654</v>
      </c>
      <c r="D174" s="501" t="s">
        <v>807</v>
      </c>
      <c r="E174" s="504" t="s">
        <v>652</v>
      </c>
      <c r="F174" s="516" t="s">
        <v>806</v>
      </c>
      <c r="G174" s="544">
        <v>-5.3801444918414994E-2</v>
      </c>
      <c r="H174" s="544">
        <v>1.6525457943925232</v>
      </c>
      <c r="I174" s="508">
        <v>56.604346</v>
      </c>
    </row>
    <row r="175" spans="1:9">
      <c r="A175" s="501" t="s">
        <v>61</v>
      </c>
      <c r="B175" s="501" t="s">
        <v>805</v>
      </c>
      <c r="C175" s="501" t="s">
        <v>654</v>
      </c>
      <c r="D175" s="501" t="s">
        <v>804</v>
      </c>
      <c r="E175" s="504" t="s">
        <v>652</v>
      </c>
      <c r="F175" s="516" t="s">
        <v>803</v>
      </c>
      <c r="G175" s="523">
        <v>-3.495468298863786E-2</v>
      </c>
      <c r="H175" s="523">
        <v>0.19516274163432062</v>
      </c>
      <c r="I175" s="508">
        <v>77.761988000000002</v>
      </c>
    </row>
    <row r="176" spans="1:9">
      <c r="A176" s="501" t="s">
        <v>61</v>
      </c>
      <c r="B176" s="501" t="s">
        <v>802</v>
      </c>
      <c r="C176" s="501" t="s">
        <v>654</v>
      </c>
      <c r="D176" s="501" t="s">
        <v>802</v>
      </c>
      <c r="E176" s="501" t="s">
        <v>655</v>
      </c>
      <c r="F176" s="516" t="s">
        <v>801</v>
      </c>
      <c r="G176" s="544">
        <v>-8.3466026964423897E-3</v>
      </c>
      <c r="H176" s="544">
        <v>8.4904000677649263E-2</v>
      </c>
      <c r="I176" s="537">
        <v>156.06</v>
      </c>
    </row>
    <row r="177" spans="1:9">
      <c r="A177" s="501" t="s">
        <v>57</v>
      </c>
      <c r="B177" s="501" t="s">
        <v>639</v>
      </c>
      <c r="C177" s="501" t="s">
        <v>306</v>
      </c>
      <c r="D177" s="510" t="s">
        <v>800</v>
      </c>
      <c r="E177" s="504" t="s">
        <v>68</v>
      </c>
      <c r="F177" s="501" t="s">
        <v>837</v>
      </c>
      <c r="G177" s="523">
        <v>-2.7399047556918256E-3</v>
      </c>
      <c r="H177" s="523">
        <v>-2.501096972356296E-2</v>
      </c>
      <c r="I177" s="507">
        <v>2.0170499999999998E-3</v>
      </c>
    </row>
    <row r="178" spans="1:9">
      <c r="A178" s="501" t="s">
        <v>57</v>
      </c>
      <c r="B178" s="501" t="s">
        <v>639</v>
      </c>
      <c r="C178" s="501" t="s">
        <v>306</v>
      </c>
      <c r="D178" s="510" t="s">
        <v>799</v>
      </c>
      <c r="E178" s="504" t="s">
        <v>68</v>
      </c>
      <c r="F178" s="501" t="s">
        <v>826</v>
      </c>
      <c r="G178" s="523">
        <v>-2.1516801700092975E-2</v>
      </c>
      <c r="H178" s="523">
        <v>-2.501096972356296E-2</v>
      </c>
      <c r="I178" s="507">
        <v>3.8996299999999998E-3</v>
      </c>
    </row>
    <row r="179" spans="1:9">
      <c r="A179" s="501" t="s">
        <v>57</v>
      </c>
      <c r="B179" s="501" t="s">
        <v>639</v>
      </c>
      <c r="C179" s="501" t="s">
        <v>306</v>
      </c>
      <c r="D179" s="510" t="s">
        <v>798</v>
      </c>
      <c r="E179" s="504" t="s">
        <v>68</v>
      </c>
      <c r="F179" s="501" t="s">
        <v>1067</v>
      </c>
      <c r="G179" s="523">
        <v>-4.0419328825755226E-2</v>
      </c>
      <c r="H179" s="523">
        <v>2.4618151671420736E-2</v>
      </c>
      <c r="I179" s="502">
        <v>1.1258000000000001E-2</v>
      </c>
    </row>
    <row r="180" spans="1:9">
      <c r="A180" s="501" t="s">
        <v>57</v>
      </c>
      <c r="B180" s="501" t="s">
        <v>639</v>
      </c>
      <c r="C180" s="501" t="s">
        <v>306</v>
      </c>
      <c r="D180" s="510" t="s">
        <v>797</v>
      </c>
      <c r="E180" s="504" t="s">
        <v>68</v>
      </c>
      <c r="F180" s="501" t="s">
        <v>1068</v>
      </c>
      <c r="G180" s="523">
        <v>-3.1815655465593125E-2</v>
      </c>
      <c r="H180" s="523">
        <v>-2.501096972356296E-2</v>
      </c>
      <c r="I180" s="545" t="s">
        <v>68</v>
      </c>
    </row>
    <row r="181" spans="1:9">
      <c r="A181" s="501" t="s">
        <v>57</v>
      </c>
      <c r="B181" s="501" t="s">
        <v>639</v>
      </c>
      <c r="C181" s="501" t="s">
        <v>306</v>
      </c>
      <c r="D181" s="510" t="s">
        <v>796</v>
      </c>
      <c r="E181" s="504" t="s">
        <v>68</v>
      </c>
      <c r="F181" s="501" t="s">
        <v>1069</v>
      </c>
      <c r="G181" s="523">
        <v>-2.4360953851432492E-2</v>
      </c>
      <c r="H181" s="523">
        <v>-2.501096972356296E-2</v>
      </c>
      <c r="I181" s="535">
        <v>7.2771999999999993E-3</v>
      </c>
    </row>
    <row r="182" spans="1:9">
      <c r="A182" s="501" t="s">
        <v>57</v>
      </c>
      <c r="B182" s="501" t="s">
        <v>639</v>
      </c>
      <c r="C182" s="501" t="s">
        <v>306</v>
      </c>
      <c r="D182" s="510" t="s">
        <v>795</v>
      </c>
      <c r="E182" s="504" t="s">
        <v>68</v>
      </c>
      <c r="F182" s="501" t="s">
        <v>1011</v>
      </c>
      <c r="G182" s="523">
        <v>-5.9135092391588158E-2</v>
      </c>
      <c r="H182" s="523">
        <v>0.19183845183003786</v>
      </c>
      <c r="I182" s="536">
        <v>3.3644E-2</v>
      </c>
    </row>
    <row r="183" spans="1:9">
      <c r="A183" s="501" t="s">
        <v>57</v>
      </c>
      <c r="B183" s="501" t="s">
        <v>639</v>
      </c>
      <c r="C183" s="501" t="s">
        <v>306</v>
      </c>
      <c r="D183" s="510" t="s">
        <v>794</v>
      </c>
      <c r="E183" s="504" t="s">
        <v>68</v>
      </c>
      <c r="F183" s="501" t="s">
        <v>580</v>
      </c>
      <c r="G183" s="523">
        <v>4.1580041580041582E-3</v>
      </c>
      <c r="H183" s="523">
        <v>-2.501096972356296E-2</v>
      </c>
      <c r="I183" s="536">
        <v>7.4353999999999989E-4</v>
      </c>
    </row>
    <row r="184" spans="1:9">
      <c r="A184" s="501" t="s">
        <v>57</v>
      </c>
      <c r="B184" s="501" t="s">
        <v>639</v>
      </c>
      <c r="C184" s="501" t="s">
        <v>306</v>
      </c>
      <c r="D184" s="510" t="s">
        <v>646</v>
      </c>
      <c r="E184" s="504" t="s">
        <v>68</v>
      </c>
      <c r="F184" s="501" t="s">
        <v>1070</v>
      </c>
      <c r="G184" s="523">
        <v>-2.1648547937574189E-2</v>
      </c>
      <c r="H184" s="523">
        <v>1.041347356164172E-2</v>
      </c>
      <c r="I184" s="535">
        <v>3.7088099999999999E-2</v>
      </c>
    </row>
    <row r="185" spans="1:9">
      <c r="A185" s="501" t="s">
        <v>57</v>
      </c>
      <c r="B185" s="501" t="s">
        <v>639</v>
      </c>
      <c r="C185" s="501" t="s">
        <v>306</v>
      </c>
      <c r="D185" s="510" t="s">
        <v>703</v>
      </c>
      <c r="E185" s="504" t="s">
        <v>68</v>
      </c>
      <c r="F185" s="501" t="s">
        <v>1071</v>
      </c>
      <c r="G185" s="523">
        <v>-4.7374219610723474E-2</v>
      </c>
      <c r="H185" s="523">
        <v>-3.2987629638885421E-2</v>
      </c>
      <c r="I185" s="536">
        <v>2.392E-3</v>
      </c>
    </row>
    <row r="186" spans="1:9">
      <c r="A186" s="501" t="s">
        <v>57</v>
      </c>
      <c r="B186" s="501" t="s">
        <v>639</v>
      </c>
      <c r="C186" s="501" t="s">
        <v>306</v>
      </c>
      <c r="D186" s="510" t="s">
        <v>793</v>
      </c>
      <c r="E186" s="504" t="s">
        <v>68</v>
      </c>
      <c r="F186" s="501" t="s">
        <v>588</v>
      </c>
      <c r="G186" s="523">
        <v>-1.8056293149229952E-2</v>
      </c>
      <c r="H186" s="523">
        <v>-2.2204344328238135E-2</v>
      </c>
      <c r="I186" s="536">
        <v>5.0959999999999998E-3</v>
      </c>
    </row>
    <row r="187" spans="1:9">
      <c r="A187" s="501" t="s">
        <v>57</v>
      </c>
      <c r="B187" s="501" t="s">
        <v>639</v>
      </c>
      <c r="C187" s="501" t="s">
        <v>306</v>
      </c>
      <c r="D187" s="510" t="s">
        <v>792</v>
      </c>
      <c r="E187" s="504" t="s">
        <v>68</v>
      </c>
      <c r="F187" s="501" t="s">
        <v>1072</v>
      </c>
      <c r="G187" s="523">
        <v>-8.288816027415942E-3</v>
      </c>
      <c r="H187" s="523">
        <v>-2.2204344328238135E-2</v>
      </c>
      <c r="I187" s="536">
        <v>4.7745599999999997E-3</v>
      </c>
    </row>
    <row r="188" spans="1:9">
      <c r="A188" s="501" t="s">
        <v>57</v>
      </c>
      <c r="B188" s="501" t="s">
        <v>639</v>
      </c>
      <c r="C188" s="501" t="s">
        <v>306</v>
      </c>
      <c r="D188" s="510" t="s">
        <v>638</v>
      </c>
      <c r="E188" s="504" t="s">
        <v>68</v>
      </c>
      <c r="F188" s="501" t="s">
        <v>1073</v>
      </c>
      <c r="G188" s="523">
        <v>-6.6521954970652095E-2</v>
      </c>
      <c r="H188" s="523">
        <v>-7.4667392659354181E-2</v>
      </c>
      <c r="I188" s="536">
        <v>1.1570999999999999E-3</v>
      </c>
    </row>
    <row r="189" spans="1:9">
      <c r="A189" s="501" t="s">
        <v>57</v>
      </c>
      <c r="B189" s="501" t="s">
        <v>629</v>
      </c>
      <c r="C189" s="501" t="s">
        <v>306</v>
      </c>
      <c r="D189" s="501" t="s">
        <v>630</v>
      </c>
      <c r="E189" s="504" t="s">
        <v>68</v>
      </c>
      <c r="F189" s="501" t="s">
        <v>1074</v>
      </c>
      <c r="G189" s="523">
        <v>-4.6249427002565076E-2</v>
      </c>
      <c r="H189" s="523">
        <v>5.3860856241820521E-2</v>
      </c>
      <c r="I189" s="507">
        <v>0.12413150000000001</v>
      </c>
    </row>
    <row r="190" spans="1:9">
      <c r="A190" s="501" t="s">
        <v>57</v>
      </c>
      <c r="B190" s="501" t="s">
        <v>618</v>
      </c>
      <c r="C190" s="501" t="s">
        <v>306</v>
      </c>
      <c r="D190" s="506" t="s">
        <v>791</v>
      </c>
      <c r="E190" s="504" t="s">
        <v>68</v>
      </c>
      <c r="F190" s="501" t="s">
        <v>1075</v>
      </c>
      <c r="G190" s="523">
        <v>-7.3800783237011919E-2</v>
      </c>
      <c r="H190" s="523">
        <v>-9.9442519210486673E-3</v>
      </c>
      <c r="I190" s="507">
        <v>1.012501E-2</v>
      </c>
    </row>
    <row r="191" spans="1:9">
      <c r="A191" s="501" t="s">
        <v>57</v>
      </c>
      <c r="B191" s="501" t="s">
        <v>618</v>
      </c>
      <c r="C191" s="501" t="s">
        <v>306</v>
      </c>
      <c r="D191" s="506" t="s">
        <v>790</v>
      </c>
      <c r="E191" s="504" t="s">
        <v>68</v>
      </c>
      <c r="F191" s="501" t="s">
        <v>1076</v>
      </c>
      <c r="G191" s="523">
        <v>-3.3074263019139252E-2</v>
      </c>
      <c r="H191" s="523">
        <v>-9.9442519210486673E-3</v>
      </c>
      <c r="I191" s="502">
        <v>1.012501E-2</v>
      </c>
    </row>
    <row r="192" spans="1:9">
      <c r="A192" s="501" t="s">
        <v>57</v>
      </c>
      <c r="B192" s="501" t="s">
        <v>618</v>
      </c>
      <c r="C192" s="501" t="s">
        <v>306</v>
      </c>
      <c r="D192" s="506" t="s">
        <v>789</v>
      </c>
      <c r="E192" s="504" t="s">
        <v>68</v>
      </c>
      <c r="F192" s="501" t="s">
        <v>1077</v>
      </c>
      <c r="G192" s="523">
        <v>-4.3008740244427385E-2</v>
      </c>
      <c r="H192" s="523">
        <v>-9.9442519210486673E-3</v>
      </c>
      <c r="I192" s="502">
        <v>1.012501E-2</v>
      </c>
    </row>
    <row r="193" spans="1:9">
      <c r="A193" s="501" t="s">
        <v>57</v>
      </c>
      <c r="B193" s="501" t="s">
        <v>618</v>
      </c>
      <c r="C193" s="501" t="s">
        <v>306</v>
      </c>
      <c r="D193" s="506" t="s">
        <v>788</v>
      </c>
      <c r="E193" s="504" t="s">
        <v>68</v>
      </c>
      <c r="F193" s="501" t="s">
        <v>1078</v>
      </c>
      <c r="G193" s="523">
        <v>-5.3141254584242195E-2</v>
      </c>
      <c r="H193" s="523">
        <v>-9.9442519210486673E-3</v>
      </c>
      <c r="I193" s="502">
        <v>1.012501E-2</v>
      </c>
    </row>
    <row r="194" spans="1:9">
      <c r="A194" s="501" t="s">
        <v>57</v>
      </c>
      <c r="B194" s="501" t="s">
        <v>618</v>
      </c>
      <c r="C194" s="501" t="s">
        <v>306</v>
      </c>
      <c r="D194" s="506" t="s">
        <v>787</v>
      </c>
      <c r="E194" s="504" t="s">
        <v>68</v>
      </c>
      <c r="F194" s="501" t="s">
        <v>1078</v>
      </c>
      <c r="G194" s="523">
        <v>-3.6678571218441661E-2</v>
      </c>
      <c r="H194" s="523">
        <v>-9.9442519210486673E-3</v>
      </c>
      <c r="I194" s="502">
        <v>1.012501E-2</v>
      </c>
    </row>
    <row r="195" spans="1:9">
      <c r="A195" s="501" t="s">
        <v>57</v>
      </c>
      <c r="B195" s="501" t="s">
        <v>618</v>
      </c>
      <c r="C195" s="501" t="s">
        <v>306</v>
      </c>
      <c r="D195" s="506" t="s">
        <v>786</v>
      </c>
      <c r="E195" s="504" t="s">
        <v>68</v>
      </c>
      <c r="F195" s="501" t="s">
        <v>1079</v>
      </c>
      <c r="G195" s="523">
        <v>-4.1468214357014518E-2</v>
      </c>
      <c r="H195" s="523">
        <v>-2.7448071216617211E-2</v>
      </c>
      <c r="I195" s="502">
        <v>3.1061729999999999E-2</v>
      </c>
    </row>
    <row r="196" spans="1:9">
      <c r="A196" s="501" t="s">
        <v>57</v>
      </c>
      <c r="B196" s="501" t="s">
        <v>618</v>
      </c>
      <c r="C196" s="501" t="s">
        <v>306</v>
      </c>
      <c r="D196" s="506" t="s">
        <v>785</v>
      </c>
      <c r="E196" s="504" t="s">
        <v>68</v>
      </c>
      <c r="F196" s="501" t="s">
        <v>1080</v>
      </c>
      <c r="G196" s="523">
        <v>-3.1627966959138915E-2</v>
      </c>
      <c r="H196" s="523">
        <v>-9.9442519210486673E-3</v>
      </c>
      <c r="I196" s="502">
        <v>1.012501E-2</v>
      </c>
    </row>
    <row r="197" spans="1:9">
      <c r="A197" s="501" t="s">
        <v>57</v>
      </c>
      <c r="B197" s="501" t="s">
        <v>618</v>
      </c>
      <c r="C197" s="501" t="s">
        <v>306</v>
      </c>
      <c r="D197" s="506" t="s">
        <v>784</v>
      </c>
      <c r="E197" s="504" t="s">
        <v>68</v>
      </c>
      <c r="F197" s="501" t="s">
        <v>1081</v>
      </c>
      <c r="G197" s="523">
        <v>-5.6415708684962457E-2</v>
      </c>
      <c r="H197" s="523">
        <v>-9.9442519210486673E-3</v>
      </c>
      <c r="I197" s="502">
        <v>1.012501E-2</v>
      </c>
    </row>
    <row r="198" spans="1:9">
      <c r="A198" s="501" t="s">
        <v>57</v>
      </c>
      <c r="B198" s="501" t="s">
        <v>618</v>
      </c>
      <c r="C198" s="501" t="s">
        <v>306</v>
      </c>
      <c r="D198" s="506" t="s">
        <v>783</v>
      </c>
      <c r="E198" s="504" t="s">
        <v>68</v>
      </c>
      <c r="F198" s="501" t="s">
        <v>1082</v>
      </c>
      <c r="G198" s="523">
        <v>-2.923340276123949E-2</v>
      </c>
      <c r="H198" s="523">
        <v>-2.027337265567054E-2</v>
      </c>
      <c r="I198" s="507">
        <v>2.5004200000000002E-3</v>
      </c>
    </row>
    <row r="199" spans="1:9">
      <c r="A199" s="501" t="s">
        <v>57</v>
      </c>
      <c r="B199" s="501" t="s">
        <v>618</v>
      </c>
      <c r="C199" s="501" t="s">
        <v>306</v>
      </c>
      <c r="D199" s="506" t="s">
        <v>782</v>
      </c>
      <c r="E199" s="504" t="s">
        <v>68</v>
      </c>
      <c r="F199" s="501" t="s">
        <v>1083</v>
      </c>
      <c r="G199" s="523">
        <v>-3.6211605246299607E-2</v>
      </c>
      <c r="H199" s="523">
        <v>-3.4430235839709861E-2</v>
      </c>
      <c r="I199" s="507">
        <v>1.5033199999999998E-3</v>
      </c>
    </row>
    <row r="200" spans="1:9">
      <c r="A200" s="501" t="s">
        <v>57</v>
      </c>
      <c r="B200" s="501" t="s">
        <v>618</v>
      </c>
      <c r="C200" s="501" t="s">
        <v>306</v>
      </c>
      <c r="D200" s="506" t="s">
        <v>781</v>
      </c>
      <c r="E200" s="504" t="s">
        <v>68</v>
      </c>
      <c r="F200" s="501" t="s">
        <v>1084</v>
      </c>
      <c r="G200" s="523">
        <v>-3.8853853642019723E-2</v>
      </c>
      <c r="H200" s="523">
        <v>-9.9442519210486673E-3</v>
      </c>
      <c r="I200" s="502">
        <v>1.012501E-2</v>
      </c>
    </row>
    <row r="201" spans="1:9">
      <c r="A201" s="501" t="s">
        <v>57</v>
      </c>
      <c r="B201" s="501" t="s">
        <v>618</v>
      </c>
      <c r="C201" s="501" t="s">
        <v>306</v>
      </c>
      <c r="D201" s="506" t="s">
        <v>780</v>
      </c>
      <c r="E201" s="504" t="s">
        <v>68</v>
      </c>
      <c r="F201" s="501" t="s">
        <v>1085</v>
      </c>
      <c r="G201" s="523">
        <v>-6.4787990518830649E-2</v>
      </c>
      <c r="H201" s="523">
        <v>-9.9442519210486673E-3</v>
      </c>
      <c r="I201" s="502">
        <v>1.012501E-2</v>
      </c>
    </row>
    <row r="202" spans="1:9">
      <c r="A202" s="501" t="s">
        <v>57</v>
      </c>
      <c r="B202" s="501" t="s">
        <v>618</v>
      </c>
      <c r="C202" s="501" t="s">
        <v>306</v>
      </c>
      <c r="D202" s="506" t="s">
        <v>699</v>
      </c>
      <c r="E202" s="504" t="s">
        <v>68</v>
      </c>
      <c r="F202" s="501" t="s">
        <v>1086</v>
      </c>
      <c r="G202" s="523">
        <v>-6.0076143018476897E-3</v>
      </c>
      <c r="H202" s="523">
        <v>-9.9442519210486673E-3</v>
      </c>
      <c r="I202" s="502">
        <v>1.012501E-2</v>
      </c>
    </row>
    <row r="203" spans="1:9">
      <c r="A203" s="501" t="s">
        <v>57</v>
      </c>
      <c r="B203" s="501" t="s">
        <v>618</v>
      </c>
      <c r="C203" s="501" t="s">
        <v>306</v>
      </c>
      <c r="D203" s="506" t="s">
        <v>779</v>
      </c>
      <c r="E203" s="504" t="s">
        <v>68</v>
      </c>
      <c r="F203" s="501" t="s">
        <v>1087</v>
      </c>
      <c r="G203" s="523">
        <v>-4.7982046007106788E-2</v>
      </c>
      <c r="H203" s="523">
        <v>-9.9442519210486673E-3</v>
      </c>
      <c r="I203" s="502">
        <v>1.012501E-2</v>
      </c>
    </row>
    <row r="204" spans="1:9">
      <c r="A204" s="501" t="s">
        <v>57</v>
      </c>
      <c r="B204" s="501" t="s">
        <v>618</v>
      </c>
      <c r="C204" s="501" t="s">
        <v>306</v>
      </c>
      <c r="D204" s="506" t="s">
        <v>709</v>
      </c>
      <c r="E204" s="504" t="s">
        <v>68</v>
      </c>
      <c r="F204" s="501" t="s">
        <v>1088</v>
      </c>
      <c r="G204" s="523">
        <v>-5.0546353116645931E-2</v>
      </c>
      <c r="H204" s="523">
        <v>-9.9442519210486673E-3</v>
      </c>
      <c r="I204" s="502">
        <v>1.012501E-2</v>
      </c>
    </row>
    <row r="205" spans="1:9">
      <c r="A205" s="501" t="s">
        <v>57</v>
      </c>
      <c r="B205" s="501" t="s">
        <v>618</v>
      </c>
      <c r="C205" s="501" t="s">
        <v>306</v>
      </c>
      <c r="D205" s="506" t="s">
        <v>778</v>
      </c>
      <c r="E205" s="504" t="s">
        <v>68</v>
      </c>
      <c r="F205" s="501" t="s">
        <v>1089</v>
      </c>
      <c r="G205" s="523">
        <v>-4.2973082225147438E-2</v>
      </c>
      <c r="H205" s="523">
        <v>-9.9442519210486673E-3</v>
      </c>
      <c r="I205" s="502">
        <v>1.012501E-2</v>
      </c>
    </row>
    <row r="206" spans="1:9">
      <c r="A206" s="501" t="s">
        <v>57</v>
      </c>
      <c r="B206" s="501" t="s">
        <v>618</v>
      </c>
      <c r="C206" s="501" t="s">
        <v>306</v>
      </c>
      <c r="D206" s="506" t="s">
        <v>777</v>
      </c>
      <c r="E206" s="504" t="s">
        <v>68</v>
      </c>
      <c r="F206" s="501" t="s">
        <v>1090</v>
      </c>
      <c r="G206" s="523">
        <v>-3.7892750762135198E-2</v>
      </c>
      <c r="H206" s="523">
        <v>-9.9442519210486673E-3</v>
      </c>
      <c r="I206" s="502">
        <v>1.012501E-2</v>
      </c>
    </row>
    <row r="207" spans="1:9">
      <c r="A207" s="501" t="s">
        <v>57</v>
      </c>
      <c r="B207" s="501" t="s">
        <v>618</v>
      </c>
      <c r="C207" s="501" t="s">
        <v>306</v>
      </c>
      <c r="D207" s="506" t="s">
        <v>776</v>
      </c>
      <c r="E207" s="504" t="s">
        <v>68</v>
      </c>
      <c r="F207" s="501" t="s">
        <v>1091</v>
      </c>
      <c r="G207" s="523">
        <v>-2.3749111945600324E-2</v>
      </c>
      <c r="H207" s="523">
        <v>-9.9442519210486673E-3</v>
      </c>
      <c r="I207" s="502">
        <v>1.012501E-2</v>
      </c>
    </row>
    <row r="208" spans="1:9">
      <c r="A208" s="501" t="s">
        <v>57</v>
      </c>
      <c r="B208" s="501" t="s">
        <v>618</v>
      </c>
      <c r="C208" s="501" t="s">
        <v>306</v>
      </c>
      <c r="D208" s="506" t="s">
        <v>775</v>
      </c>
      <c r="E208" s="504" t="s">
        <v>68</v>
      </c>
      <c r="F208" s="501" t="s">
        <v>1092</v>
      </c>
      <c r="G208" s="523">
        <v>-5.4215952483099163E-2</v>
      </c>
      <c r="H208" s="523">
        <v>-9.9442519210486673E-3</v>
      </c>
      <c r="I208" s="502">
        <v>1.012501E-2</v>
      </c>
    </row>
    <row r="209" spans="1:9">
      <c r="A209" s="501" t="s">
        <v>57</v>
      </c>
      <c r="B209" s="501" t="s">
        <v>618</v>
      </c>
      <c r="C209" s="501" t="s">
        <v>306</v>
      </c>
      <c r="D209" s="506" t="s">
        <v>774</v>
      </c>
      <c r="E209" s="504" t="s">
        <v>68</v>
      </c>
      <c r="F209" s="501" t="s">
        <v>1093</v>
      </c>
      <c r="G209" s="523">
        <v>-6.5178464844216299E-2</v>
      </c>
      <c r="H209" s="523">
        <v>-9.9442519210486673E-3</v>
      </c>
      <c r="I209" s="502">
        <v>1.012501E-2</v>
      </c>
    </row>
    <row r="210" spans="1:9">
      <c r="A210" s="501" t="s">
        <v>57</v>
      </c>
      <c r="B210" s="501" t="s">
        <v>618</v>
      </c>
      <c r="C210" s="501" t="s">
        <v>306</v>
      </c>
      <c r="D210" s="506" t="s">
        <v>773</v>
      </c>
      <c r="E210" s="504" t="s">
        <v>68</v>
      </c>
      <c r="F210" s="501" t="s">
        <v>1094</v>
      </c>
      <c r="G210" s="523">
        <v>-4.910972876319037E-2</v>
      </c>
      <c r="H210" s="523">
        <v>-9.9442519210486673E-3</v>
      </c>
      <c r="I210" s="502">
        <v>1.012501E-2</v>
      </c>
    </row>
    <row r="211" spans="1:9">
      <c r="A211" s="501" t="s">
        <v>57</v>
      </c>
      <c r="B211" s="501" t="s">
        <v>609</v>
      </c>
      <c r="C211" s="501" t="s">
        <v>306</v>
      </c>
      <c r="D211" s="506" t="s">
        <v>772</v>
      </c>
      <c r="E211" s="504" t="s">
        <v>68</v>
      </c>
      <c r="F211" s="501" t="s">
        <v>1095</v>
      </c>
      <c r="G211" s="523">
        <v>-7.0194583410099071E-2</v>
      </c>
      <c r="H211" s="523">
        <v>-7.4028898480015023E-2</v>
      </c>
      <c r="I211" s="502">
        <v>2.9833299999999997E-3</v>
      </c>
    </row>
    <row r="212" spans="1:9">
      <c r="A212" s="501" t="s">
        <v>57</v>
      </c>
      <c r="B212" s="501" t="s">
        <v>609</v>
      </c>
      <c r="C212" s="501" t="s">
        <v>306</v>
      </c>
      <c r="D212" s="506" t="s">
        <v>771</v>
      </c>
      <c r="E212" s="504" t="s">
        <v>68</v>
      </c>
      <c r="F212" s="501" t="s">
        <v>1096</v>
      </c>
      <c r="G212" s="523">
        <v>-2.9554015200481426E-2</v>
      </c>
      <c r="H212" s="523">
        <v>-7.4028898480015023E-2</v>
      </c>
      <c r="I212" s="502">
        <v>2.9833299999999997E-3</v>
      </c>
    </row>
    <row r="213" spans="1:9">
      <c r="A213" s="501" t="s">
        <v>57</v>
      </c>
      <c r="B213" s="501" t="s">
        <v>609</v>
      </c>
      <c r="C213" s="501" t="s">
        <v>306</v>
      </c>
      <c r="D213" s="506" t="s">
        <v>770</v>
      </c>
      <c r="E213" s="504" t="s">
        <v>68</v>
      </c>
      <c r="F213" s="501" t="s">
        <v>1097</v>
      </c>
      <c r="G213" s="523">
        <v>-3.3572482921973158E-2</v>
      </c>
      <c r="H213" s="523">
        <v>-7.4028898480015023E-2</v>
      </c>
      <c r="I213" s="502">
        <v>2.9833299999999997E-3</v>
      </c>
    </row>
    <row r="214" spans="1:9">
      <c r="A214" s="501" t="s">
        <v>57</v>
      </c>
      <c r="B214" s="501" t="s">
        <v>605</v>
      </c>
      <c r="C214" s="501" t="s">
        <v>750</v>
      </c>
      <c r="D214" s="501" t="s">
        <v>605</v>
      </c>
      <c r="E214" s="504" t="s">
        <v>68</v>
      </c>
      <c r="F214" s="501" t="s">
        <v>1098</v>
      </c>
      <c r="G214" s="523">
        <v>1.0217107144316001E-2</v>
      </c>
      <c r="H214" s="523">
        <v>-5.8202574985236219E-2</v>
      </c>
      <c r="I214" s="507">
        <v>6.6380999999999996E-2</v>
      </c>
    </row>
    <row r="215" spans="1:9">
      <c r="A215" s="501" t="s">
        <v>57</v>
      </c>
      <c r="B215" s="501" t="s">
        <v>597</v>
      </c>
      <c r="C215" s="501" t="s">
        <v>750</v>
      </c>
      <c r="D215" s="506" t="s">
        <v>600</v>
      </c>
      <c r="E215" s="504" t="s">
        <v>68</v>
      </c>
      <c r="F215" s="501" t="s">
        <v>1099</v>
      </c>
      <c r="G215" s="523">
        <v>-1.44804332277511E-2</v>
      </c>
      <c r="H215" s="523">
        <v>6.4437602921171334E-4</v>
      </c>
      <c r="I215" s="507">
        <v>2.8066499999999999E-3</v>
      </c>
    </row>
    <row r="216" spans="1:9">
      <c r="A216" s="501" t="s">
        <v>57</v>
      </c>
      <c r="B216" s="501" t="s">
        <v>597</v>
      </c>
      <c r="C216" s="501" t="s">
        <v>750</v>
      </c>
      <c r="D216" s="506" t="s">
        <v>599</v>
      </c>
      <c r="E216" s="504" t="s">
        <v>68</v>
      </c>
      <c r="F216" s="501" t="s">
        <v>1100</v>
      </c>
      <c r="G216" s="523">
        <v>-3.6778048752297184E-2</v>
      </c>
      <c r="H216" s="523">
        <v>6.4437602921171334E-4</v>
      </c>
      <c r="I216" s="507">
        <v>2.8066499999999999E-3</v>
      </c>
    </row>
    <row r="217" spans="1:9">
      <c r="A217" s="501" t="s">
        <v>57</v>
      </c>
      <c r="B217" s="501" t="s">
        <v>597</v>
      </c>
      <c r="C217" s="501" t="s">
        <v>750</v>
      </c>
      <c r="D217" s="506" t="s">
        <v>598</v>
      </c>
      <c r="E217" s="504" t="s">
        <v>68</v>
      </c>
      <c r="F217" s="501" t="s">
        <v>1101</v>
      </c>
      <c r="G217" s="523">
        <v>-1.2674599609272976E-2</v>
      </c>
      <c r="H217" s="523">
        <v>-3.1971754216122555E-3</v>
      </c>
      <c r="I217" s="507">
        <v>1.1646180000000001E-2</v>
      </c>
    </row>
    <row r="218" spans="1:9">
      <c r="A218" s="501" t="s">
        <v>57</v>
      </c>
      <c r="B218" s="501" t="s">
        <v>597</v>
      </c>
      <c r="C218" s="501" t="s">
        <v>750</v>
      </c>
      <c r="D218" s="506" t="s">
        <v>769</v>
      </c>
      <c r="E218" s="504" t="s">
        <v>68</v>
      </c>
      <c r="F218" s="501" t="s">
        <v>1102</v>
      </c>
      <c r="G218" s="523">
        <v>-9.3440214710938954E-2</v>
      </c>
      <c r="H218" s="523">
        <v>-6.0932811393722679E-3</v>
      </c>
      <c r="I218" s="535">
        <v>0.17763773999999999</v>
      </c>
    </row>
    <row r="219" spans="1:9">
      <c r="A219" s="501" t="s">
        <v>57</v>
      </c>
      <c r="B219" s="501" t="s">
        <v>597</v>
      </c>
      <c r="C219" s="501" t="s">
        <v>750</v>
      </c>
      <c r="D219" s="506" t="s">
        <v>596</v>
      </c>
      <c r="E219" s="504" t="s">
        <v>68</v>
      </c>
      <c r="F219" s="501" t="s">
        <v>1103</v>
      </c>
      <c r="G219" s="523">
        <v>-1.5939992693342224E-2</v>
      </c>
      <c r="H219" s="523">
        <v>1.5628052353975389E-3</v>
      </c>
      <c r="I219" s="507">
        <v>9.8658000000000014E-4</v>
      </c>
    </row>
    <row r="220" spans="1:9">
      <c r="A220" s="501" t="s">
        <v>57</v>
      </c>
      <c r="B220" s="501" t="s">
        <v>597</v>
      </c>
      <c r="C220" s="501" t="s">
        <v>750</v>
      </c>
      <c r="D220" s="506" t="s">
        <v>697</v>
      </c>
      <c r="E220" s="504" t="s">
        <v>68</v>
      </c>
      <c r="F220" s="501" t="s">
        <v>1104</v>
      </c>
      <c r="G220" s="523">
        <v>-2.4103340072828067E-2</v>
      </c>
      <c r="H220" s="523">
        <v>1.5628052353975389E-3</v>
      </c>
      <c r="I220" s="507">
        <v>9.8658000000000014E-4</v>
      </c>
    </row>
    <row r="221" spans="1:9">
      <c r="A221" s="501" t="s">
        <v>57</v>
      </c>
      <c r="B221" s="501" t="s">
        <v>597</v>
      </c>
      <c r="C221" s="501" t="s">
        <v>750</v>
      </c>
      <c r="D221" s="506" t="s">
        <v>768</v>
      </c>
      <c r="E221" s="504" t="s">
        <v>68</v>
      </c>
      <c r="F221" s="501" t="s">
        <v>1105</v>
      </c>
      <c r="G221" s="523">
        <v>-3.9140324142538645E-2</v>
      </c>
      <c r="H221" s="523">
        <v>1.5628052353975389E-3</v>
      </c>
      <c r="I221" s="507">
        <v>9.8658000000000014E-4</v>
      </c>
    </row>
    <row r="222" spans="1:9">
      <c r="A222" s="501" t="s">
        <v>57</v>
      </c>
      <c r="B222" s="501" t="s">
        <v>597</v>
      </c>
      <c r="C222" s="501" t="s">
        <v>750</v>
      </c>
      <c r="D222" s="506" t="s">
        <v>767</v>
      </c>
      <c r="E222" s="504" t="s">
        <v>68</v>
      </c>
      <c r="F222" s="501" t="s">
        <v>1106</v>
      </c>
      <c r="G222" s="523">
        <v>-2.4586184351068446E-2</v>
      </c>
      <c r="H222" s="523">
        <v>1.5628052353975389E-3</v>
      </c>
      <c r="I222" s="507">
        <v>9.8658000000000014E-4</v>
      </c>
    </row>
    <row r="223" spans="1:9">
      <c r="A223" s="501" t="s">
        <v>57</v>
      </c>
      <c r="B223" s="501" t="s">
        <v>597</v>
      </c>
      <c r="C223" s="501" t="s">
        <v>750</v>
      </c>
      <c r="D223" s="506" t="s">
        <v>732</v>
      </c>
      <c r="E223" s="504" t="s">
        <v>68</v>
      </c>
      <c r="F223" s="501" t="s">
        <v>1107</v>
      </c>
      <c r="G223" s="523">
        <v>4.2830724417345645E-2</v>
      </c>
      <c r="H223" s="523">
        <v>1.5628052353975389E-3</v>
      </c>
      <c r="I223" s="507">
        <v>9.8658000000000014E-4</v>
      </c>
    </row>
    <row r="224" spans="1:9">
      <c r="A224" s="501" t="s">
        <v>57</v>
      </c>
      <c r="B224" s="501" t="s">
        <v>597</v>
      </c>
      <c r="C224" s="501" t="s">
        <v>750</v>
      </c>
      <c r="D224" s="506" t="s">
        <v>766</v>
      </c>
      <c r="E224" s="504" t="s">
        <v>68</v>
      </c>
      <c r="F224" s="501" t="s">
        <v>1108</v>
      </c>
      <c r="G224" s="523">
        <v>-3.8917594584831877E-2</v>
      </c>
      <c r="H224" s="523">
        <v>1.5628052353975389E-3</v>
      </c>
      <c r="I224" s="507">
        <v>9.8658000000000014E-4</v>
      </c>
    </row>
    <row r="225" spans="1:9">
      <c r="A225" s="501" t="s">
        <v>57</v>
      </c>
      <c r="B225" s="501" t="s">
        <v>597</v>
      </c>
      <c r="C225" s="501" t="s">
        <v>750</v>
      </c>
      <c r="D225" s="506" t="s">
        <v>765</v>
      </c>
      <c r="E225" s="504" t="s">
        <v>68</v>
      </c>
      <c r="F225" s="501" t="s">
        <v>1109</v>
      </c>
      <c r="G225" s="523">
        <v>-3.7229905657187298E-2</v>
      </c>
      <c r="H225" s="523">
        <v>1.5628052353975389E-3</v>
      </c>
      <c r="I225" s="507">
        <v>9.8658000000000014E-4</v>
      </c>
    </row>
    <row r="226" spans="1:9">
      <c r="A226" s="501" t="s">
        <v>57</v>
      </c>
      <c r="B226" s="501" t="s">
        <v>597</v>
      </c>
      <c r="C226" s="501" t="s">
        <v>750</v>
      </c>
      <c r="D226" s="506" t="s">
        <v>764</v>
      </c>
      <c r="E226" s="504" t="s">
        <v>68</v>
      </c>
      <c r="F226" s="501" t="s">
        <v>1110</v>
      </c>
      <c r="G226" s="523">
        <v>-3.8078486368282191E-2</v>
      </c>
      <c r="H226" s="523">
        <v>1.5628052353975389E-3</v>
      </c>
      <c r="I226" s="507">
        <v>9.8658000000000014E-4</v>
      </c>
    </row>
    <row r="227" spans="1:9">
      <c r="A227" s="501" t="s">
        <v>57</v>
      </c>
      <c r="B227" s="501" t="s">
        <v>597</v>
      </c>
      <c r="C227" s="501" t="s">
        <v>750</v>
      </c>
      <c r="D227" s="506" t="s">
        <v>763</v>
      </c>
      <c r="E227" s="504" t="s">
        <v>68</v>
      </c>
      <c r="F227" s="501" t="s">
        <v>1111</v>
      </c>
      <c r="G227" s="523">
        <v>-4.8658081735540017E-2</v>
      </c>
      <c r="H227" s="523">
        <v>1.5628052353975389E-3</v>
      </c>
      <c r="I227" s="507">
        <v>9.8658000000000014E-4</v>
      </c>
    </row>
    <row r="228" spans="1:9">
      <c r="A228" s="501" t="s">
        <v>57</v>
      </c>
      <c r="B228" s="501" t="s">
        <v>597</v>
      </c>
      <c r="C228" s="501" t="s">
        <v>750</v>
      </c>
      <c r="D228" s="506" t="s">
        <v>762</v>
      </c>
      <c r="E228" s="504" t="s">
        <v>68</v>
      </c>
      <c r="F228" s="501" t="s">
        <v>1112</v>
      </c>
      <c r="G228" s="523">
        <v>-3.2847896440129448E-2</v>
      </c>
      <c r="H228" s="523">
        <v>1.5628052353975389E-3</v>
      </c>
      <c r="I228" s="507">
        <v>9.8658000000000014E-4</v>
      </c>
    </row>
    <row r="229" spans="1:9">
      <c r="A229" s="501" t="s">
        <v>57</v>
      </c>
      <c r="B229" s="501" t="s">
        <v>696</v>
      </c>
      <c r="C229" s="501" t="s">
        <v>750</v>
      </c>
      <c r="D229" s="506" t="s">
        <v>761</v>
      </c>
      <c r="E229" s="504" t="s">
        <v>68</v>
      </c>
      <c r="F229" s="501" t="s">
        <v>1113</v>
      </c>
      <c r="G229" s="523">
        <v>7.8860184296757604E-2</v>
      </c>
      <c r="H229" s="523">
        <v>-6.303336419816534E-2</v>
      </c>
      <c r="I229" s="514">
        <v>0</v>
      </c>
    </row>
    <row r="230" spans="1:9">
      <c r="A230" s="501" t="s">
        <v>57</v>
      </c>
      <c r="B230" s="501" t="s">
        <v>696</v>
      </c>
      <c r="C230" s="501" t="s">
        <v>750</v>
      </c>
      <c r="D230" s="506" t="s">
        <v>760</v>
      </c>
      <c r="E230" s="504" t="s">
        <v>68</v>
      </c>
      <c r="F230" s="501" t="s">
        <v>1114</v>
      </c>
      <c r="G230" s="523">
        <v>2.176278563656148E-2</v>
      </c>
      <c r="H230" s="523">
        <v>-6.303336419816534E-2</v>
      </c>
      <c r="I230" s="514">
        <v>0</v>
      </c>
    </row>
    <row r="231" spans="1:9">
      <c r="A231" s="501" t="s">
        <v>57</v>
      </c>
      <c r="B231" s="501" t="s">
        <v>696</v>
      </c>
      <c r="C231" s="501" t="s">
        <v>750</v>
      </c>
      <c r="D231" s="506" t="s">
        <v>759</v>
      </c>
      <c r="E231" s="504" t="s">
        <v>68</v>
      </c>
      <c r="F231" s="501" t="s">
        <v>1115</v>
      </c>
      <c r="G231" s="523">
        <v>-3.0085959885386822E-2</v>
      </c>
      <c r="H231" s="523">
        <v>-6.303336419816534E-2</v>
      </c>
      <c r="I231" s="514">
        <v>0</v>
      </c>
    </row>
    <row r="232" spans="1:9">
      <c r="A232" s="501" t="s">
        <v>57</v>
      </c>
      <c r="B232" s="501" t="s">
        <v>696</v>
      </c>
      <c r="C232" s="501" t="s">
        <v>750</v>
      </c>
      <c r="D232" s="506" t="s">
        <v>758</v>
      </c>
      <c r="E232" s="504" t="s">
        <v>68</v>
      </c>
      <c r="F232" s="501" t="s">
        <v>1116</v>
      </c>
      <c r="G232" s="523">
        <v>-1.0592546729362939E-2</v>
      </c>
      <c r="H232" s="523">
        <v>-6.303336419816534E-2</v>
      </c>
      <c r="I232" s="514">
        <v>0</v>
      </c>
    </row>
    <row r="233" spans="1:9">
      <c r="A233" s="501" t="s">
        <v>57</v>
      </c>
      <c r="B233" s="501" t="s">
        <v>696</v>
      </c>
      <c r="C233" s="501" t="s">
        <v>750</v>
      </c>
      <c r="D233" s="506" t="s">
        <v>757</v>
      </c>
      <c r="E233" s="504" t="s">
        <v>68</v>
      </c>
      <c r="F233" s="501" t="s">
        <v>1117</v>
      </c>
      <c r="G233" s="523">
        <v>-4.2625766616222652E-2</v>
      </c>
      <c r="H233" s="523">
        <v>-6.303336419816534E-2</v>
      </c>
      <c r="I233" s="514">
        <v>0</v>
      </c>
    </row>
    <row r="234" spans="1:9">
      <c r="A234" s="501" t="s">
        <v>57</v>
      </c>
      <c r="B234" s="501" t="s">
        <v>696</v>
      </c>
      <c r="C234" s="501" t="s">
        <v>750</v>
      </c>
      <c r="D234" s="506" t="s">
        <v>756</v>
      </c>
      <c r="E234" s="504" t="s">
        <v>68</v>
      </c>
      <c r="F234" s="501" t="s">
        <v>1118</v>
      </c>
      <c r="G234" s="523">
        <v>-2.212544280814277E-2</v>
      </c>
      <c r="H234" s="523">
        <v>-6.303336419816534E-2</v>
      </c>
      <c r="I234" s="514">
        <v>0</v>
      </c>
    </row>
    <row r="235" spans="1:9">
      <c r="A235" s="501" t="s">
        <v>57</v>
      </c>
      <c r="B235" s="501" t="s">
        <v>696</v>
      </c>
      <c r="C235" s="501" t="s">
        <v>750</v>
      </c>
      <c r="D235" s="506" t="s">
        <v>755</v>
      </c>
      <c r="E235" s="504" t="s">
        <v>68</v>
      </c>
      <c r="F235" s="501" t="s">
        <v>1119</v>
      </c>
      <c r="G235" s="523">
        <v>-2.0271425164638375E-2</v>
      </c>
      <c r="H235" s="523">
        <v>-6.303336419816534E-2</v>
      </c>
      <c r="I235" s="514">
        <v>0</v>
      </c>
    </row>
    <row r="236" spans="1:9">
      <c r="A236" s="501" t="s">
        <v>57</v>
      </c>
      <c r="B236" s="501" t="s">
        <v>595</v>
      </c>
      <c r="C236" s="501" t="s">
        <v>750</v>
      </c>
      <c r="D236" s="506" t="s">
        <v>754</v>
      </c>
      <c r="E236" s="504" t="s">
        <v>68</v>
      </c>
      <c r="F236" s="501" t="s">
        <v>1120</v>
      </c>
      <c r="G236" s="523">
        <v>-2.6594832863964735E-2</v>
      </c>
      <c r="H236" s="523">
        <v>-4.029068163002484E-2</v>
      </c>
      <c r="I236" s="514">
        <v>0</v>
      </c>
    </row>
    <row r="237" spans="1:9">
      <c r="A237" s="501" t="s">
        <v>57</v>
      </c>
      <c r="B237" s="501" t="s">
        <v>595</v>
      </c>
      <c r="C237" s="501" t="s">
        <v>750</v>
      </c>
      <c r="D237" s="506" t="s">
        <v>660</v>
      </c>
      <c r="E237" s="504" t="s">
        <v>68</v>
      </c>
      <c r="F237" s="501" t="s">
        <v>1121</v>
      </c>
      <c r="G237" s="523">
        <v>-5.7987492893689589E-2</v>
      </c>
      <c r="H237" s="523">
        <v>-4.029068163002484E-2</v>
      </c>
      <c r="I237" s="514">
        <v>0</v>
      </c>
    </row>
    <row r="238" spans="1:9">
      <c r="A238" s="501" t="s">
        <v>57</v>
      </c>
      <c r="B238" s="501" t="s">
        <v>595</v>
      </c>
      <c r="C238" s="501" t="s">
        <v>750</v>
      </c>
      <c r="D238" s="506" t="s">
        <v>753</v>
      </c>
      <c r="E238" s="504" t="s">
        <v>68</v>
      </c>
      <c r="F238" s="501" t="s">
        <v>1122</v>
      </c>
      <c r="G238" s="523">
        <v>-3.0168041282582804E-2</v>
      </c>
      <c r="H238" s="523">
        <v>-4.029068163002484E-2</v>
      </c>
      <c r="I238" s="514">
        <v>0</v>
      </c>
    </row>
    <row r="239" spans="1:9">
      <c r="A239" s="501" t="s">
        <v>57</v>
      </c>
      <c r="B239" s="501" t="s">
        <v>595</v>
      </c>
      <c r="C239" s="501" t="s">
        <v>750</v>
      </c>
      <c r="D239" s="506" t="s">
        <v>716</v>
      </c>
      <c r="E239" s="504" t="s">
        <v>68</v>
      </c>
      <c r="F239" s="501" t="s">
        <v>1123</v>
      </c>
      <c r="G239" s="523">
        <v>0.18161318300086732</v>
      </c>
      <c r="H239" s="523">
        <v>-4.029068163002484E-2</v>
      </c>
      <c r="I239" s="514">
        <v>0</v>
      </c>
    </row>
    <row r="240" spans="1:9">
      <c r="A240" s="501" t="s">
        <v>57</v>
      </c>
      <c r="B240" s="501" t="s">
        <v>592</v>
      </c>
      <c r="C240" s="501" t="s">
        <v>750</v>
      </c>
      <c r="D240" s="506" t="s">
        <v>593</v>
      </c>
      <c r="E240" s="504" t="s">
        <v>68</v>
      </c>
      <c r="F240" s="501" t="s">
        <v>1124</v>
      </c>
      <c r="G240" s="523">
        <v>-5.1857604529398506E-2</v>
      </c>
      <c r="H240" s="523">
        <v>5.6872789243710802E-3</v>
      </c>
      <c r="I240" s="515">
        <v>4.3381830000000003E-2</v>
      </c>
    </row>
    <row r="241" spans="1:9">
      <c r="A241" s="501" t="s">
        <v>57</v>
      </c>
      <c r="B241" s="501" t="s">
        <v>590</v>
      </c>
      <c r="C241" s="501" t="s">
        <v>750</v>
      </c>
      <c r="D241" s="506" t="s">
        <v>752</v>
      </c>
      <c r="E241" s="504" t="s">
        <v>68</v>
      </c>
      <c r="F241" s="501" t="s">
        <v>1125</v>
      </c>
      <c r="G241" s="523">
        <v>-4.5173641301169312E-2</v>
      </c>
      <c r="H241" s="523">
        <v>3.1498273490356811E-2</v>
      </c>
      <c r="I241" s="515">
        <v>1.6619999999999999E-2</v>
      </c>
    </row>
    <row r="242" spans="1:9">
      <c r="A242" s="501" t="s">
        <v>57</v>
      </c>
      <c r="B242" s="501" t="s">
        <v>578</v>
      </c>
      <c r="C242" s="501" t="s">
        <v>750</v>
      </c>
      <c r="D242" s="506" t="s">
        <v>751</v>
      </c>
      <c r="E242" s="504" t="s">
        <v>68</v>
      </c>
      <c r="F242" s="501" t="s">
        <v>1126</v>
      </c>
      <c r="G242" s="523">
        <v>-5.2757026815021937E-2</v>
      </c>
      <c r="H242" s="523">
        <v>-7.8380864765409383E-2</v>
      </c>
      <c r="I242" s="514">
        <v>0</v>
      </c>
    </row>
    <row r="243" spans="1:9">
      <c r="A243" s="501" t="s">
        <v>57</v>
      </c>
      <c r="B243" s="501" t="s">
        <v>578</v>
      </c>
      <c r="C243" s="501" t="s">
        <v>750</v>
      </c>
      <c r="D243" s="506" t="s">
        <v>749</v>
      </c>
      <c r="E243" s="504" t="s">
        <v>68</v>
      </c>
      <c r="F243" s="501" t="s">
        <v>1107</v>
      </c>
      <c r="G243" s="523">
        <v>-6.0394453345119059E-2</v>
      </c>
      <c r="H243" s="523">
        <v>-8.6039075375751853E-2</v>
      </c>
      <c r="I243" s="502">
        <v>4.3885000000000001E-4</v>
      </c>
    </row>
    <row r="244" spans="1:9">
      <c r="A244" s="501" t="s">
        <v>57</v>
      </c>
      <c r="B244" s="501" t="s">
        <v>639</v>
      </c>
      <c r="C244" s="501" t="s">
        <v>713</v>
      </c>
      <c r="D244" s="510" t="s">
        <v>748</v>
      </c>
      <c r="E244" s="504" t="s">
        <v>68</v>
      </c>
      <c r="F244" s="501" t="s">
        <v>1127</v>
      </c>
      <c r="G244" s="523">
        <v>-1.22274302017526E-3</v>
      </c>
      <c r="H244" s="523">
        <v>-3.3753376625983135E-2</v>
      </c>
      <c r="I244" s="508">
        <v>4.5105535799999998</v>
      </c>
    </row>
    <row r="245" spans="1:9">
      <c r="A245" s="501" t="s">
        <v>57</v>
      </c>
      <c r="B245" s="501" t="s">
        <v>639</v>
      </c>
      <c r="C245" s="501" t="s">
        <v>713</v>
      </c>
      <c r="D245" s="510" t="s">
        <v>747</v>
      </c>
      <c r="E245" s="504" t="s">
        <v>68</v>
      </c>
      <c r="F245" s="501" t="s">
        <v>1128</v>
      </c>
      <c r="G245" s="523">
        <v>-5.3534279506264153E-2</v>
      </c>
      <c r="H245" s="523">
        <v>-2.7081911851327363E-2</v>
      </c>
      <c r="I245" s="508">
        <v>15.854754239999998</v>
      </c>
    </row>
    <row r="246" spans="1:9">
      <c r="A246" s="501" t="s">
        <v>57</v>
      </c>
      <c r="B246" s="501" t="s">
        <v>639</v>
      </c>
      <c r="C246" s="501" t="s">
        <v>713</v>
      </c>
      <c r="D246" s="510" t="s">
        <v>746</v>
      </c>
      <c r="E246" s="504" t="s">
        <v>68</v>
      </c>
      <c r="F246" s="501" t="s">
        <v>1129</v>
      </c>
      <c r="G246" s="523">
        <v>-2.0277882087870822E-2</v>
      </c>
      <c r="H246" s="523">
        <v>-2.7081911851327363E-2</v>
      </c>
      <c r="I246" s="508">
        <v>15.854754239999998</v>
      </c>
    </row>
    <row r="247" spans="1:9">
      <c r="A247" s="501" t="s">
        <v>57</v>
      </c>
      <c r="B247" s="501" t="s">
        <v>639</v>
      </c>
      <c r="C247" s="501" t="s">
        <v>713</v>
      </c>
      <c r="D247" s="510" t="s">
        <v>745</v>
      </c>
      <c r="E247" s="504" t="s">
        <v>68</v>
      </c>
      <c r="F247" s="501" t="s">
        <v>1130</v>
      </c>
      <c r="G247" s="523">
        <v>2.1201413427561839E-2</v>
      </c>
      <c r="H247" s="523">
        <v>-8.0993008020894611E-2</v>
      </c>
      <c r="I247" s="507">
        <v>3.2837848199999999E-2</v>
      </c>
    </row>
    <row r="248" spans="1:9">
      <c r="A248" s="501" t="s">
        <v>57</v>
      </c>
      <c r="B248" s="501" t="s">
        <v>639</v>
      </c>
      <c r="C248" s="501" t="s">
        <v>713</v>
      </c>
      <c r="D248" s="510" t="s">
        <v>744</v>
      </c>
      <c r="E248" s="504" t="s">
        <v>68</v>
      </c>
      <c r="F248" s="501" t="s">
        <v>1131</v>
      </c>
      <c r="G248" s="523">
        <v>5.1023816252601287E-2</v>
      </c>
      <c r="H248" s="523">
        <v>-8.9552238805970158E-2</v>
      </c>
      <c r="I248" s="549">
        <v>0</v>
      </c>
    </row>
    <row r="249" spans="1:9">
      <c r="A249" s="501" t="s">
        <v>57</v>
      </c>
      <c r="B249" s="501" t="s">
        <v>639</v>
      </c>
      <c r="C249" s="501" t="s">
        <v>713</v>
      </c>
      <c r="D249" s="510" t="s">
        <v>743</v>
      </c>
      <c r="E249" s="504" t="s">
        <v>68</v>
      </c>
      <c r="F249" s="501" t="s">
        <v>1132</v>
      </c>
      <c r="G249" s="523">
        <v>-3.1802120141342753E-2</v>
      </c>
      <c r="H249" s="523">
        <v>-8.4772130501890808E-2</v>
      </c>
      <c r="I249" s="507">
        <v>3.3269683999999997E-3</v>
      </c>
    </row>
    <row r="250" spans="1:9">
      <c r="A250" s="501" t="s">
        <v>57</v>
      </c>
      <c r="B250" s="501" t="s">
        <v>639</v>
      </c>
      <c r="C250" s="501" t="s">
        <v>713</v>
      </c>
      <c r="D250" s="510" t="s">
        <v>742</v>
      </c>
      <c r="E250" s="504" t="s">
        <v>68</v>
      </c>
      <c r="F250" s="501" t="s">
        <v>1133</v>
      </c>
      <c r="G250" s="523">
        <v>-6.0606060606060608E-2</v>
      </c>
      <c r="H250" s="523">
        <v>-7.3170732063132071E-2</v>
      </c>
      <c r="I250" s="549">
        <v>0</v>
      </c>
    </row>
    <row r="251" spans="1:9">
      <c r="A251" s="501" t="s">
        <v>57</v>
      </c>
      <c r="B251" s="501" t="s">
        <v>639</v>
      </c>
      <c r="C251" s="501" t="s">
        <v>713</v>
      </c>
      <c r="D251" s="510" t="s">
        <v>741</v>
      </c>
      <c r="E251" s="504" t="s">
        <v>68</v>
      </c>
      <c r="F251" s="501" t="s">
        <v>1134</v>
      </c>
      <c r="G251" s="523">
        <v>4.9934609440019017E-3</v>
      </c>
      <c r="H251" s="523">
        <v>-4.1844229324857533E-2</v>
      </c>
      <c r="I251" s="507">
        <v>0.26360220000000001</v>
      </c>
    </row>
    <row r="252" spans="1:9">
      <c r="A252" s="501" t="s">
        <v>57</v>
      </c>
      <c r="B252" s="501" t="s">
        <v>629</v>
      </c>
      <c r="C252" s="501" t="s">
        <v>713</v>
      </c>
      <c r="D252" s="506" t="s">
        <v>630</v>
      </c>
      <c r="E252" s="504" t="s">
        <v>68</v>
      </c>
      <c r="F252" s="501" t="s">
        <v>1135</v>
      </c>
      <c r="G252" s="523">
        <v>-2.799590240094278E-3</v>
      </c>
      <c r="H252" s="523">
        <v>1.3537753061927253E-2</v>
      </c>
      <c r="I252" s="508">
        <v>0.93060513</v>
      </c>
    </row>
    <row r="253" spans="1:9">
      <c r="A253" s="501" t="s">
        <v>57</v>
      </c>
      <c r="B253" s="501" t="s">
        <v>618</v>
      </c>
      <c r="C253" s="501" t="s">
        <v>713</v>
      </c>
      <c r="D253" s="506" t="s">
        <v>740</v>
      </c>
      <c r="E253" s="504" t="s">
        <v>68</v>
      </c>
      <c r="F253" s="501" t="s">
        <v>1136</v>
      </c>
      <c r="G253" s="523">
        <v>2.0437779094671709E-3</v>
      </c>
      <c r="H253" s="523">
        <v>1.1629745023209613E-2</v>
      </c>
      <c r="I253" s="508">
        <v>0.51012999999999997</v>
      </c>
    </row>
    <row r="254" spans="1:9">
      <c r="A254" s="501" t="s">
        <v>57</v>
      </c>
      <c r="B254" s="501" t="s">
        <v>609</v>
      </c>
      <c r="C254" s="501" t="s">
        <v>713</v>
      </c>
      <c r="D254" s="506" t="s">
        <v>680</v>
      </c>
      <c r="E254" s="504" t="s">
        <v>68</v>
      </c>
      <c r="F254" s="501" t="s">
        <v>1137</v>
      </c>
      <c r="G254" s="523">
        <v>-6.9136709577166916E-2</v>
      </c>
      <c r="H254" s="523">
        <v>-5.6799741425558228E-2</v>
      </c>
      <c r="I254" s="508">
        <v>1.0874209999999999E-2</v>
      </c>
    </row>
    <row r="255" spans="1:9">
      <c r="A255" s="501" t="s">
        <v>57</v>
      </c>
      <c r="B255" s="501" t="s">
        <v>609</v>
      </c>
      <c r="C255" s="501" t="s">
        <v>713</v>
      </c>
      <c r="D255" s="506" t="s">
        <v>739</v>
      </c>
      <c r="E255" s="504" t="s">
        <v>68</v>
      </c>
      <c r="F255" s="501" t="s">
        <v>1138</v>
      </c>
      <c r="G255" s="523">
        <v>-3.243621433772334E-2</v>
      </c>
      <c r="H255" s="523">
        <v>0.31399776305912214</v>
      </c>
      <c r="I255" s="507">
        <v>0.18005754000000002</v>
      </c>
    </row>
    <row r="256" spans="1:9">
      <c r="A256" s="501" t="s">
        <v>57</v>
      </c>
      <c r="B256" s="501" t="s">
        <v>609</v>
      </c>
      <c r="C256" s="501" t="s">
        <v>713</v>
      </c>
      <c r="D256" s="506" t="s">
        <v>676</v>
      </c>
      <c r="E256" s="504" t="s">
        <v>68</v>
      </c>
      <c r="F256" s="501" t="s">
        <v>1139</v>
      </c>
      <c r="G256" s="523">
        <v>-3.3732030336188358E-2</v>
      </c>
      <c r="H256" s="523">
        <v>0.31399776305912214</v>
      </c>
      <c r="I256" s="507">
        <v>0.18005754000000002</v>
      </c>
    </row>
    <row r="257" spans="1:9">
      <c r="A257" s="501" t="s">
        <v>57</v>
      </c>
      <c r="B257" s="501" t="s">
        <v>609</v>
      </c>
      <c r="C257" s="501" t="s">
        <v>713</v>
      </c>
      <c r="D257" s="506" t="s">
        <v>675</v>
      </c>
      <c r="E257" s="504" t="s">
        <v>68</v>
      </c>
      <c r="F257" s="501" t="s">
        <v>1140</v>
      </c>
      <c r="G257" s="523">
        <v>7.5683638707301354E-2</v>
      </c>
      <c r="H257" s="523">
        <v>0.31399776305912214</v>
      </c>
      <c r="I257" s="507">
        <v>0.18005754000000002</v>
      </c>
    </row>
    <row r="258" spans="1:9">
      <c r="A258" s="501" t="s">
        <v>57</v>
      </c>
      <c r="B258" s="501" t="s">
        <v>609</v>
      </c>
      <c r="C258" s="501" t="s">
        <v>713</v>
      </c>
      <c r="D258" s="506" t="s">
        <v>674</v>
      </c>
      <c r="E258" s="504" t="s">
        <v>68</v>
      </c>
      <c r="F258" s="501" t="s">
        <v>1141</v>
      </c>
      <c r="G258" s="523">
        <v>-3.4710242901766983E-2</v>
      </c>
      <c r="H258" s="523">
        <v>0.31399776305912214</v>
      </c>
      <c r="I258" s="507">
        <v>0.18005754000000002</v>
      </c>
    </row>
    <row r="259" spans="1:9">
      <c r="A259" s="501" t="s">
        <v>57</v>
      </c>
      <c r="B259" s="501" t="s">
        <v>609</v>
      </c>
      <c r="C259" s="501" t="s">
        <v>713</v>
      </c>
      <c r="D259" s="506" t="s">
        <v>738</v>
      </c>
      <c r="E259" s="504" t="s">
        <v>68</v>
      </c>
      <c r="F259" s="501" t="s">
        <v>1142</v>
      </c>
      <c r="G259" s="523">
        <v>-3.5062186870080878E-2</v>
      </c>
      <c r="H259" s="523">
        <v>-4.7152114401449188E-2</v>
      </c>
      <c r="I259" s="507">
        <v>8.6501900000000003E-3</v>
      </c>
    </row>
    <row r="260" spans="1:9">
      <c r="A260" s="501" t="s">
        <v>57</v>
      </c>
      <c r="B260" s="501" t="s">
        <v>609</v>
      </c>
      <c r="C260" s="501" t="s">
        <v>713</v>
      </c>
      <c r="D260" s="506" t="s">
        <v>737</v>
      </c>
      <c r="E260" s="504" t="s">
        <v>68</v>
      </c>
      <c r="F260" s="501" t="s">
        <v>1143</v>
      </c>
      <c r="G260" s="523">
        <v>-1.6026909378709934E-2</v>
      </c>
      <c r="H260" s="523">
        <v>-4.7152114401449188E-2</v>
      </c>
      <c r="I260" s="507">
        <v>8.6501900000000003E-3</v>
      </c>
    </row>
    <row r="261" spans="1:9">
      <c r="A261" s="501" t="s">
        <v>57</v>
      </c>
      <c r="B261" s="501" t="s">
        <v>609</v>
      </c>
      <c r="C261" s="501" t="s">
        <v>713</v>
      </c>
      <c r="D261" s="506" t="s">
        <v>736</v>
      </c>
      <c r="E261" s="504" t="s">
        <v>68</v>
      </c>
      <c r="F261" s="501" t="s">
        <v>1144</v>
      </c>
      <c r="G261" s="523">
        <v>-3.3930193636735974E-2</v>
      </c>
      <c r="H261" s="523">
        <v>-4.7152114401449188E-2</v>
      </c>
      <c r="I261" s="507">
        <v>8.6501900000000003E-3</v>
      </c>
    </row>
    <row r="262" spans="1:9">
      <c r="A262" s="501" t="s">
        <v>57</v>
      </c>
      <c r="B262" s="501" t="s">
        <v>609</v>
      </c>
      <c r="C262" s="501" t="s">
        <v>713</v>
      </c>
      <c r="D262" s="506" t="s">
        <v>671</v>
      </c>
      <c r="E262" s="504" t="s">
        <v>68</v>
      </c>
      <c r="F262" s="501" t="s">
        <v>1145</v>
      </c>
      <c r="G262" s="523">
        <v>-2.6062146904516473E-2</v>
      </c>
      <c r="H262" s="523">
        <v>-4.7152114401449188E-2</v>
      </c>
      <c r="I262" s="507">
        <v>8.6501900000000003E-3</v>
      </c>
    </row>
    <row r="263" spans="1:9">
      <c r="A263" s="501" t="s">
        <v>57</v>
      </c>
      <c r="B263" s="501" t="s">
        <v>609</v>
      </c>
      <c r="C263" s="501" t="s">
        <v>713</v>
      </c>
      <c r="D263" s="506" t="s">
        <v>735</v>
      </c>
      <c r="E263" s="504" t="s">
        <v>68</v>
      </c>
      <c r="F263" s="501" t="s">
        <v>1146</v>
      </c>
      <c r="G263" s="523">
        <v>-5.7494870510060782E-2</v>
      </c>
      <c r="H263" s="523">
        <v>-4.7152114401449188E-2</v>
      </c>
      <c r="I263" s="507">
        <v>8.6501900000000003E-3</v>
      </c>
    </row>
    <row r="264" spans="1:9">
      <c r="A264" s="501" t="s">
        <v>57</v>
      </c>
      <c r="B264" s="501" t="s">
        <v>609</v>
      </c>
      <c r="C264" s="501" t="s">
        <v>713</v>
      </c>
      <c r="D264" s="506" t="s">
        <v>734</v>
      </c>
      <c r="E264" s="504" t="s">
        <v>68</v>
      </c>
      <c r="F264" s="501" t="s">
        <v>1147</v>
      </c>
      <c r="G264" s="523">
        <v>-6.5189264162465982E-2</v>
      </c>
      <c r="H264" s="523">
        <v>-5.6799741425558228E-2</v>
      </c>
      <c r="I264" s="507">
        <v>1.0874209999999999E-2</v>
      </c>
    </row>
    <row r="265" spans="1:9">
      <c r="A265" s="501" t="s">
        <v>57</v>
      </c>
      <c r="B265" s="501" t="s">
        <v>609</v>
      </c>
      <c r="C265" s="501" t="s">
        <v>713</v>
      </c>
      <c r="D265" s="506" t="s">
        <v>733</v>
      </c>
      <c r="E265" s="504" t="s">
        <v>68</v>
      </c>
      <c r="F265" s="501" t="s">
        <v>1148</v>
      </c>
      <c r="G265" s="523">
        <v>-2.8159027742195471E-2</v>
      </c>
      <c r="H265" s="523">
        <v>-4.7152114401449188E-2</v>
      </c>
      <c r="I265" s="507">
        <v>8.6501900000000003E-3</v>
      </c>
    </row>
    <row r="266" spans="1:9">
      <c r="A266" s="501" t="s">
        <v>57</v>
      </c>
      <c r="B266" s="501" t="s">
        <v>602</v>
      </c>
      <c r="C266" s="501" t="s">
        <v>713</v>
      </c>
      <c r="D266" s="506" t="s">
        <v>667</v>
      </c>
      <c r="E266" s="504" t="s">
        <v>68</v>
      </c>
      <c r="F266" s="501" t="s">
        <v>1149</v>
      </c>
      <c r="G266" s="523">
        <v>-2.8159027742195471E-2</v>
      </c>
      <c r="H266" s="523">
        <v>-6.7679179786758983E-2</v>
      </c>
      <c r="I266" s="507">
        <v>1.4319</v>
      </c>
    </row>
    <row r="267" spans="1:9">
      <c r="A267" s="501" t="s">
        <v>57</v>
      </c>
      <c r="B267" s="501" t="s">
        <v>602</v>
      </c>
      <c r="C267" s="501" t="s">
        <v>713</v>
      </c>
      <c r="D267" s="506" t="s">
        <v>664</v>
      </c>
      <c r="E267" s="504" t="s">
        <v>68</v>
      </c>
      <c r="F267" s="501" t="s">
        <v>1150</v>
      </c>
      <c r="G267" s="523">
        <v>-4.9352768657618472E-2</v>
      </c>
      <c r="H267" s="523">
        <v>-6.7679179786758983E-2</v>
      </c>
      <c r="I267" s="507">
        <v>1.4319</v>
      </c>
    </row>
    <row r="268" spans="1:9">
      <c r="A268" s="501" t="s">
        <v>57</v>
      </c>
      <c r="B268" s="501" t="s">
        <v>602</v>
      </c>
      <c r="C268" s="501" t="s">
        <v>713</v>
      </c>
      <c r="D268" s="506" t="s">
        <v>668</v>
      </c>
      <c r="E268" s="504" t="s">
        <v>68</v>
      </c>
      <c r="F268" s="501" t="s">
        <v>1151</v>
      </c>
      <c r="G268" s="523">
        <v>1.7409454090503932E-3</v>
      </c>
      <c r="H268" s="523">
        <v>-6.7679179786758983E-2</v>
      </c>
      <c r="I268" s="507">
        <v>1.4319</v>
      </c>
    </row>
    <row r="269" spans="1:9">
      <c r="A269" s="501" t="s">
        <v>57</v>
      </c>
      <c r="B269" s="501" t="s">
        <v>602</v>
      </c>
      <c r="C269" s="501" t="s">
        <v>713</v>
      </c>
      <c r="D269" s="506" t="s">
        <v>663</v>
      </c>
      <c r="E269" s="504" t="s">
        <v>68</v>
      </c>
      <c r="F269" s="501" t="s">
        <v>1150</v>
      </c>
      <c r="G269" s="523">
        <v>2.4289925524926946E-2</v>
      </c>
      <c r="H269" s="523">
        <v>-6.7679179786758983E-2</v>
      </c>
      <c r="I269" s="507">
        <v>1.4319</v>
      </c>
    </row>
    <row r="270" spans="1:9">
      <c r="A270" s="501" t="s">
        <v>57</v>
      </c>
      <c r="B270" s="501" t="s">
        <v>602</v>
      </c>
      <c r="C270" s="501" t="s">
        <v>713</v>
      </c>
      <c r="D270" s="506" t="s">
        <v>662</v>
      </c>
      <c r="E270" s="504" t="s">
        <v>68</v>
      </c>
      <c r="F270" s="501" t="s">
        <v>1152</v>
      </c>
      <c r="G270" s="523">
        <v>1.2453172582537071E-2</v>
      </c>
      <c r="H270" s="523">
        <v>-6.7679179786758983E-2</v>
      </c>
      <c r="I270" s="507">
        <v>1.4319</v>
      </c>
    </row>
    <row r="271" spans="1:9">
      <c r="A271" s="501" t="s">
        <v>57</v>
      </c>
      <c r="B271" s="501" t="s">
        <v>597</v>
      </c>
      <c r="C271" s="501" t="s">
        <v>713</v>
      </c>
      <c r="D271" s="506" t="s">
        <v>599</v>
      </c>
      <c r="E271" s="504" t="s">
        <v>68</v>
      </c>
      <c r="F271" s="501" t="s">
        <v>1100</v>
      </c>
      <c r="G271" s="523">
        <v>-2.5980077182482974E-2</v>
      </c>
      <c r="H271" s="523">
        <v>0.34758831824776842</v>
      </c>
      <c r="I271" s="507">
        <v>0.16140615</v>
      </c>
    </row>
    <row r="272" spans="1:9">
      <c r="A272" s="501" t="s">
        <v>57</v>
      </c>
      <c r="B272" s="501" t="s">
        <v>597</v>
      </c>
      <c r="C272" s="501" t="s">
        <v>713</v>
      </c>
      <c r="D272" s="506" t="s">
        <v>596</v>
      </c>
      <c r="E272" s="504" t="s">
        <v>68</v>
      </c>
      <c r="F272" s="501" t="s">
        <v>1126</v>
      </c>
      <c r="G272" s="523">
        <v>0.43401887638382747</v>
      </c>
      <c r="H272" s="523">
        <v>0.34758831824776842</v>
      </c>
      <c r="I272" s="507">
        <v>0.16140615</v>
      </c>
    </row>
    <row r="273" spans="1:9">
      <c r="A273" s="501" t="s">
        <v>57</v>
      </c>
      <c r="B273" s="501" t="s">
        <v>597</v>
      </c>
      <c r="C273" s="501" t="s">
        <v>713</v>
      </c>
      <c r="D273" s="506" t="s">
        <v>732</v>
      </c>
      <c r="E273" s="504" t="s">
        <v>68</v>
      </c>
      <c r="F273" s="501" t="s">
        <v>1107</v>
      </c>
      <c r="G273" s="523">
        <v>3.9498281619201284E-2</v>
      </c>
      <c r="H273" s="523">
        <v>0.34758831824776842</v>
      </c>
      <c r="I273" s="507">
        <v>0.16140615</v>
      </c>
    </row>
    <row r="274" spans="1:9">
      <c r="A274" s="501" t="s">
        <v>57</v>
      </c>
      <c r="B274" s="501" t="s">
        <v>696</v>
      </c>
      <c r="C274" s="501" t="s">
        <v>713</v>
      </c>
      <c r="D274" s="506" t="s">
        <v>731</v>
      </c>
      <c r="E274" s="504" t="s">
        <v>68</v>
      </c>
      <c r="F274" s="501" t="s">
        <v>1113</v>
      </c>
      <c r="G274" s="523">
        <v>0.16758969973263077</v>
      </c>
      <c r="H274" s="523">
        <v>1.6924112040920072</v>
      </c>
      <c r="I274" s="507">
        <v>1.23878088</v>
      </c>
    </row>
    <row r="275" spans="1:9">
      <c r="A275" s="501" t="s">
        <v>57</v>
      </c>
      <c r="B275" s="501" t="s">
        <v>696</v>
      </c>
      <c r="C275" s="501" t="s">
        <v>713</v>
      </c>
      <c r="D275" s="506" t="s">
        <v>730</v>
      </c>
      <c r="E275" s="504" t="s">
        <v>68</v>
      </c>
      <c r="F275" s="501" t="s">
        <v>1153</v>
      </c>
      <c r="G275" s="523">
        <v>0.10222075887758798</v>
      </c>
      <c r="H275" s="523">
        <v>1.6924112040920072</v>
      </c>
      <c r="I275" s="507">
        <v>1.23878088</v>
      </c>
    </row>
    <row r="276" spans="1:9">
      <c r="A276" s="501" t="s">
        <v>57</v>
      </c>
      <c r="B276" s="501" t="s">
        <v>696</v>
      </c>
      <c r="C276" s="501" t="s">
        <v>713</v>
      </c>
      <c r="D276" s="506" t="s">
        <v>729</v>
      </c>
      <c r="E276" s="504" t="s">
        <v>68</v>
      </c>
      <c r="F276" s="501" t="s">
        <v>1154</v>
      </c>
      <c r="G276" s="523">
        <v>5.6195165290785914E-2</v>
      </c>
      <c r="H276" s="523">
        <v>1.7410269735628907</v>
      </c>
      <c r="I276" s="507">
        <v>1.0824795599999999</v>
      </c>
    </row>
    <row r="277" spans="1:9">
      <c r="A277" s="501" t="s">
        <v>57</v>
      </c>
      <c r="B277" s="501" t="s">
        <v>696</v>
      </c>
      <c r="C277" s="501" t="s">
        <v>713</v>
      </c>
      <c r="D277" s="506" t="s">
        <v>728</v>
      </c>
      <c r="E277" s="504" t="s">
        <v>68</v>
      </c>
      <c r="F277" s="501" t="s">
        <v>1155</v>
      </c>
      <c r="G277" s="523">
        <v>7.8175895765472306E-2</v>
      </c>
      <c r="H277" s="523">
        <v>1.7410269735628907</v>
      </c>
      <c r="I277" s="507">
        <v>1.0824795599999999</v>
      </c>
    </row>
    <row r="278" spans="1:9">
      <c r="A278" s="501" t="s">
        <v>57</v>
      </c>
      <c r="B278" s="501" t="s">
        <v>696</v>
      </c>
      <c r="C278" s="501" t="s">
        <v>713</v>
      </c>
      <c r="D278" s="506" t="s">
        <v>727</v>
      </c>
      <c r="E278" s="504" t="s">
        <v>68</v>
      </c>
      <c r="F278" s="501" t="s">
        <v>1156</v>
      </c>
      <c r="G278" s="523">
        <v>4.6272493573264781E-2</v>
      </c>
      <c r="H278" s="523">
        <v>1.7410269735628907</v>
      </c>
      <c r="I278" s="507">
        <v>1.0824795599999999</v>
      </c>
    </row>
    <row r="279" spans="1:9">
      <c r="A279" s="501" t="s">
        <v>57</v>
      </c>
      <c r="B279" s="501" t="s">
        <v>696</v>
      </c>
      <c r="C279" s="501" t="s">
        <v>713</v>
      </c>
      <c r="D279" s="506" t="s">
        <v>726</v>
      </c>
      <c r="E279" s="504" t="s">
        <v>68</v>
      </c>
      <c r="F279" s="501" t="s">
        <v>1157</v>
      </c>
      <c r="G279" s="523">
        <v>0.10501607388886053</v>
      </c>
      <c r="H279" s="523">
        <v>1.7410269735628907</v>
      </c>
      <c r="I279" s="507">
        <v>1.0824795599999999</v>
      </c>
    </row>
    <row r="280" spans="1:9">
      <c r="A280" s="501" t="s">
        <v>57</v>
      </c>
      <c r="B280" s="501" t="s">
        <v>696</v>
      </c>
      <c r="C280" s="501" t="s">
        <v>713</v>
      </c>
      <c r="D280" s="506" t="s">
        <v>725</v>
      </c>
      <c r="E280" s="504" t="s">
        <v>68</v>
      </c>
      <c r="F280" s="501" t="s">
        <v>1158</v>
      </c>
      <c r="G280" s="523">
        <v>0.19050870604301809</v>
      </c>
      <c r="H280" s="523">
        <v>1.7410269735628907</v>
      </c>
      <c r="I280" s="507">
        <v>1.0824795599999999</v>
      </c>
    </row>
    <row r="281" spans="1:9">
      <c r="A281" s="501" t="s">
        <v>57</v>
      </c>
      <c r="B281" s="501" t="s">
        <v>696</v>
      </c>
      <c r="C281" s="501" t="s">
        <v>713</v>
      </c>
      <c r="D281" s="506" t="s">
        <v>724</v>
      </c>
      <c r="E281" s="504" t="s">
        <v>68</v>
      </c>
      <c r="F281" s="501" t="s">
        <v>1159</v>
      </c>
      <c r="G281" s="523">
        <v>0.49624060150375937</v>
      </c>
      <c r="H281" s="523">
        <v>1.7410269735628907</v>
      </c>
      <c r="I281" s="507">
        <v>1.0824795599999999</v>
      </c>
    </row>
    <row r="282" spans="1:9">
      <c r="A282" s="501" t="s">
        <v>57</v>
      </c>
      <c r="B282" s="501" t="s">
        <v>696</v>
      </c>
      <c r="C282" s="501" t="s">
        <v>713</v>
      </c>
      <c r="D282" s="506" t="s">
        <v>723</v>
      </c>
      <c r="E282" s="504" t="s">
        <v>68</v>
      </c>
      <c r="F282" s="501" t="s">
        <v>1160</v>
      </c>
      <c r="G282" s="523">
        <v>4.9792531120331954E-2</v>
      </c>
      <c r="H282" s="523">
        <v>1.7410269735628907</v>
      </c>
      <c r="I282" s="507">
        <v>1.0824795599999999</v>
      </c>
    </row>
    <row r="283" spans="1:9">
      <c r="A283" s="501" t="s">
        <v>57</v>
      </c>
      <c r="B283" s="501" t="s">
        <v>696</v>
      </c>
      <c r="C283" s="501" t="s">
        <v>713</v>
      </c>
      <c r="D283" s="506" t="s">
        <v>722</v>
      </c>
      <c r="E283" s="504" t="s">
        <v>68</v>
      </c>
      <c r="F283" s="501" t="s">
        <v>1161</v>
      </c>
      <c r="G283" s="523">
        <v>9.3970635078535661E-2</v>
      </c>
      <c r="H283" s="523">
        <v>1.7410269735628907</v>
      </c>
      <c r="I283" s="507">
        <v>1.0824795599999999</v>
      </c>
    </row>
    <row r="284" spans="1:9">
      <c r="A284" s="501" t="s">
        <v>57</v>
      </c>
      <c r="B284" s="501" t="s">
        <v>595</v>
      </c>
      <c r="C284" s="501" t="s">
        <v>713</v>
      </c>
      <c r="D284" s="506" t="s">
        <v>721</v>
      </c>
      <c r="E284" s="504" t="s">
        <v>68</v>
      </c>
      <c r="F284" s="501" t="s">
        <v>1162</v>
      </c>
      <c r="G284" s="523">
        <v>0.1621952091350361</v>
      </c>
      <c r="H284" s="523">
        <v>0.26408301522493832</v>
      </c>
      <c r="I284" s="507">
        <v>0.36562372000000004</v>
      </c>
    </row>
    <row r="285" spans="1:9">
      <c r="A285" s="501" t="s">
        <v>57</v>
      </c>
      <c r="B285" s="501" t="s">
        <v>595</v>
      </c>
      <c r="C285" s="501" t="s">
        <v>713</v>
      </c>
      <c r="D285" s="506" t="s">
        <v>720</v>
      </c>
      <c r="E285" s="504" t="s">
        <v>68</v>
      </c>
      <c r="F285" s="501" t="s">
        <v>1163</v>
      </c>
      <c r="G285" s="523">
        <v>6.6741965294178043E-2</v>
      </c>
      <c r="H285" s="523">
        <v>0.26408301522493832</v>
      </c>
      <c r="I285" s="507">
        <v>0.36562372000000004</v>
      </c>
    </row>
    <row r="286" spans="1:9">
      <c r="A286" s="501" t="s">
        <v>57</v>
      </c>
      <c r="B286" s="501" t="s">
        <v>595</v>
      </c>
      <c r="C286" s="501" t="s">
        <v>713</v>
      </c>
      <c r="D286" s="506" t="s">
        <v>719</v>
      </c>
      <c r="E286" s="504" t="s">
        <v>68</v>
      </c>
      <c r="F286" s="501" t="s">
        <v>1164</v>
      </c>
      <c r="G286" s="523">
        <v>2.6290634630531697E-2</v>
      </c>
      <c r="H286" s="523">
        <v>0.26408301522493832</v>
      </c>
      <c r="I286" s="507">
        <v>0.36562372000000004</v>
      </c>
    </row>
    <row r="287" spans="1:9">
      <c r="A287" s="501" t="s">
        <v>57</v>
      </c>
      <c r="B287" s="501" t="s">
        <v>595</v>
      </c>
      <c r="C287" s="501" t="s">
        <v>713</v>
      </c>
      <c r="D287" s="506" t="s">
        <v>718</v>
      </c>
      <c r="E287" s="504" t="s">
        <v>68</v>
      </c>
      <c r="F287" s="501" t="s">
        <v>1165</v>
      </c>
      <c r="G287" s="523">
        <v>7.8620979608997263E-2</v>
      </c>
      <c r="H287" s="523">
        <v>0.26408301522493832</v>
      </c>
      <c r="I287" s="507">
        <v>0.36562372000000004</v>
      </c>
    </row>
    <row r="288" spans="1:9">
      <c r="A288" s="501" t="s">
        <v>57</v>
      </c>
      <c r="B288" s="501" t="s">
        <v>595</v>
      </c>
      <c r="C288" s="501" t="s">
        <v>713</v>
      </c>
      <c r="D288" s="506" t="s">
        <v>659</v>
      </c>
      <c r="E288" s="504" t="s">
        <v>68</v>
      </c>
      <c r="F288" s="501" t="s">
        <v>1166</v>
      </c>
      <c r="G288" s="523">
        <v>-2.7440027408262867E-2</v>
      </c>
      <c r="H288" s="523">
        <v>0.26408301522493832</v>
      </c>
      <c r="I288" s="507">
        <v>0.36562372000000004</v>
      </c>
    </row>
    <row r="289" spans="1:9">
      <c r="A289" s="501" t="s">
        <v>57</v>
      </c>
      <c r="B289" s="501" t="s">
        <v>595</v>
      </c>
      <c r="C289" s="501" t="s">
        <v>713</v>
      </c>
      <c r="D289" s="506" t="s">
        <v>660</v>
      </c>
      <c r="E289" s="504" t="s">
        <v>68</v>
      </c>
      <c r="F289" s="501" t="s">
        <v>1167</v>
      </c>
      <c r="G289" s="523">
        <v>-2.859774349527976E-2</v>
      </c>
      <c r="H289" s="523">
        <v>0.26408301522493832</v>
      </c>
      <c r="I289" s="507">
        <v>0.36562372000000004</v>
      </c>
    </row>
    <row r="290" spans="1:9">
      <c r="A290" s="501" t="s">
        <v>57</v>
      </c>
      <c r="B290" s="501" t="s">
        <v>595</v>
      </c>
      <c r="C290" s="501" t="s">
        <v>713</v>
      </c>
      <c r="D290" s="506" t="s">
        <v>717</v>
      </c>
      <c r="E290" s="504" t="s">
        <v>68</v>
      </c>
      <c r="F290" s="501" t="s">
        <v>1168</v>
      </c>
      <c r="G290" s="523">
        <v>0.41929866652220016</v>
      </c>
      <c r="H290" s="523">
        <v>0.26408301522493832</v>
      </c>
      <c r="I290" s="507">
        <v>0.36562372000000004</v>
      </c>
    </row>
    <row r="291" spans="1:9">
      <c r="A291" s="501" t="s">
        <v>57</v>
      </c>
      <c r="B291" s="501" t="s">
        <v>595</v>
      </c>
      <c r="C291" s="501" t="s">
        <v>713</v>
      </c>
      <c r="D291" s="506" t="s">
        <v>716</v>
      </c>
      <c r="E291" s="504" t="s">
        <v>68</v>
      </c>
      <c r="F291" s="501" t="s">
        <v>1169</v>
      </c>
      <c r="G291" s="523">
        <v>9.118964197043878E-3</v>
      </c>
      <c r="H291" s="523">
        <v>0.26408301522493832</v>
      </c>
      <c r="I291" s="507">
        <v>0.36562372000000004</v>
      </c>
    </row>
    <row r="292" spans="1:9">
      <c r="A292" s="501" t="s">
        <v>57</v>
      </c>
      <c r="B292" s="501" t="s">
        <v>578</v>
      </c>
      <c r="C292" s="501" t="s">
        <v>713</v>
      </c>
      <c r="D292" s="506" t="s">
        <v>714</v>
      </c>
      <c r="E292" s="504" t="s">
        <v>68</v>
      </c>
      <c r="F292" s="501" t="s">
        <v>1170</v>
      </c>
      <c r="G292" s="523">
        <v>-3.7913352708081091E-2</v>
      </c>
      <c r="H292" s="523">
        <v>2.0786140492788513E-2</v>
      </c>
      <c r="I292" s="507">
        <v>2.8349196600000002</v>
      </c>
    </row>
    <row r="293" spans="1:9">
      <c r="A293" s="501" t="s">
        <v>57</v>
      </c>
      <c r="B293" s="501" t="s">
        <v>578</v>
      </c>
      <c r="C293" s="501" t="s">
        <v>713</v>
      </c>
      <c r="D293" s="506" t="s">
        <v>712</v>
      </c>
      <c r="E293" s="504" t="s">
        <v>68</v>
      </c>
      <c r="F293" s="501" t="s">
        <v>1107</v>
      </c>
      <c r="G293" s="523">
        <v>-1.911046602986223E-2</v>
      </c>
      <c r="H293" s="523">
        <v>2.0786140492788513E-2</v>
      </c>
      <c r="I293" s="507">
        <v>2.8349196600000002</v>
      </c>
    </row>
    <row r="294" spans="1:9">
      <c r="A294" s="501" t="s">
        <v>57</v>
      </c>
      <c r="B294" s="501" t="s">
        <v>639</v>
      </c>
      <c r="C294" s="501" t="s">
        <v>690</v>
      </c>
      <c r="D294" s="510" t="s">
        <v>651</v>
      </c>
      <c r="E294" s="504" t="s">
        <v>68</v>
      </c>
      <c r="F294" s="501" t="s">
        <v>1171</v>
      </c>
      <c r="G294" s="523">
        <v>7.1762096086126909E-2</v>
      </c>
      <c r="H294" s="530">
        <v>3.0004945870198384E-2</v>
      </c>
      <c r="I294" s="535">
        <v>8.7087700000000011E-3</v>
      </c>
    </row>
    <row r="295" spans="1:9">
      <c r="A295" s="501" t="s">
        <v>57</v>
      </c>
      <c r="B295" s="501" t="s">
        <v>639</v>
      </c>
      <c r="C295" s="501" t="s">
        <v>690</v>
      </c>
      <c r="D295" s="510" t="s">
        <v>711</v>
      </c>
      <c r="E295" s="504" t="s">
        <v>68</v>
      </c>
      <c r="F295" s="501" t="s">
        <v>826</v>
      </c>
      <c r="G295" s="523">
        <v>-1.2052771594549106E-2</v>
      </c>
      <c r="H295" s="530">
        <v>1.0693704687448291E-2</v>
      </c>
      <c r="I295" s="546" t="s">
        <v>68</v>
      </c>
    </row>
    <row r="296" spans="1:9">
      <c r="A296" s="501" t="s">
        <v>57</v>
      </c>
      <c r="B296" s="501" t="s">
        <v>639</v>
      </c>
      <c r="C296" s="501" t="s">
        <v>690</v>
      </c>
      <c r="D296" s="510" t="s">
        <v>646</v>
      </c>
      <c r="E296" s="504" t="s">
        <v>68</v>
      </c>
      <c r="F296" s="501" t="s">
        <v>1070</v>
      </c>
      <c r="G296" s="523">
        <v>-2.8809490063816574E-2</v>
      </c>
      <c r="H296" s="530">
        <v>0.15534330780145564</v>
      </c>
      <c r="I296" s="535">
        <v>0.41157255999999998</v>
      </c>
    </row>
    <row r="297" spans="1:9">
      <c r="A297" s="501" t="s">
        <v>57</v>
      </c>
      <c r="B297" s="501" t="s">
        <v>639</v>
      </c>
      <c r="C297" s="501" t="s">
        <v>690</v>
      </c>
      <c r="D297" s="510" t="s">
        <v>710</v>
      </c>
      <c r="E297" s="504" t="s">
        <v>68</v>
      </c>
      <c r="F297" s="501" t="s">
        <v>1069</v>
      </c>
      <c r="G297" s="523">
        <v>-3.7897191720921194E-2</v>
      </c>
      <c r="H297" s="523">
        <v>-4.2504237288827164E-2</v>
      </c>
      <c r="I297" s="535">
        <v>1.1989363235294119E-3</v>
      </c>
    </row>
    <row r="298" spans="1:9">
      <c r="A298" s="501" t="s">
        <v>57</v>
      </c>
      <c r="B298" s="501" t="s">
        <v>639</v>
      </c>
      <c r="C298" s="501" t="s">
        <v>690</v>
      </c>
      <c r="D298" s="510" t="s">
        <v>709</v>
      </c>
      <c r="E298" s="504" t="s">
        <v>68</v>
      </c>
      <c r="F298" s="501" t="s">
        <v>841</v>
      </c>
      <c r="G298" s="523">
        <v>-3.8763750654793087E-2</v>
      </c>
      <c r="H298" s="523">
        <v>1.0693704687448291E-2</v>
      </c>
      <c r="I298" s="546" t="s">
        <v>68</v>
      </c>
    </row>
    <row r="299" spans="1:9">
      <c r="A299" s="501" t="s">
        <v>57</v>
      </c>
      <c r="B299" s="501" t="s">
        <v>639</v>
      </c>
      <c r="C299" s="501" t="s">
        <v>690</v>
      </c>
      <c r="D299" s="510" t="s">
        <v>708</v>
      </c>
      <c r="E299" s="504" t="s">
        <v>68</v>
      </c>
      <c r="F299" s="501" t="s">
        <v>1172</v>
      </c>
      <c r="G299" s="523">
        <v>-2.4793388429752063E-2</v>
      </c>
      <c r="H299" s="523">
        <v>1.0693704687448291E-2</v>
      </c>
      <c r="I299" s="546" t="s">
        <v>68</v>
      </c>
    </row>
    <row r="300" spans="1:9">
      <c r="A300" s="501" t="s">
        <v>57</v>
      </c>
      <c r="B300" s="501" t="s">
        <v>639</v>
      </c>
      <c r="C300" s="501" t="s">
        <v>690</v>
      </c>
      <c r="D300" s="510" t="s">
        <v>707</v>
      </c>
      <c r="E300" s="504" t="s">
        <v>68</v>
      </c>
      <c r="F300" s="501" t="s">
        <v>580</v>
      </c>
      <c r="G300" s="523">
        <v>-2.617336396335675E-2</v>
      </c>
      <c r="H300" s="523">
        <v>1.0693704687448291E-2</v>
      </c>
      <c r="I300" s="546" t="s">
        <v>68</v>
      </c>
    </row>
    <row r="301" spans="1:9">
      <c r="A301" s="501" t="s">
        <v>57</v>
      </c>
      <c r="B301" s="501" t="s">
        <v>639</v>
      </c>
      <c r="C301" s="501" t="s">
        <v>690</v>
      </c>
      <c r="D301" s="510" t="s">
        <v>706</v>
      </c>
      <c r="E301" s="504" t="s">
        <v>68</v>
      </c>
      <c r="F301" s="501" t="s">
        <v>1173</v>
      </c>
      <c r="G301" s="523">
        <v>1.6678518326976532E-2</v>
      </c>
      <c r="H301" s="523">
        <v>1.0693704687448291E-2</v>
      </c>
      <c r="I301" s="546" t="s">
        <v>68</v>
      </c>
    </row>
    <row r="302" spans="1:9">
      <c r="A302" s="501" t="s">
        <v>57</v>
      </c>
      <c r="B302" s="501" t="s">
        <v>639</v>
      </c>
      <c r="C302" s="501" t="s">
        <v>690</v>
      </c>
      <c r="D302" s="510" t="s">
        <v>705</v>
      </c>
      <c r="E302" s="504" t="s">
        <v>68</v>
      </c>
      <c r="F302" s="501" t="s">
        <v>1174</v>
      </c>
      <c r="G302" s="523">
        <v>-3.9386033085378032E-2</v>
      </c>
      <c r="H302" s="523">
        <v>-1.084956956497669E-2</v>
      </c>
      <c r="I302" s="535">
        <v>9.8174222222222225E-3</v>
      </c>
    </row>
    <row r="303" spans="1:9">
      <c r="A303" s="501" t="s">
        <v>57</v>
      </c>
      <c r="B303" s="501" t="s">
        <v>639</v>
      </c>
      <c r="C303" s="501" t="s">
        <v>690</v>
      </c>
      <c r="D303" s="510" t="s">
        <v>704</v>
      </c>
      <c r="E303" s="504" t="s">
        <v>68</v>
      </c>
      <c r="F303" s="501" t="s">
        <v>837</v>
      </c>
      <c r="G303" s="523">
        <v>-4.0139616055846421E-2</v>
      </c>
      <c r="H303" s="523">
        <v>-4.4414258604468383E-2</v>
      </c>
      <c r="I303" s="535">
        <v>4.8539541210374633E-2</v>
      </c>
    </row>
    <row r="304" spans="1:9">
      <c r="A304" s="501" t="s">
        <v>57</v>
      </c>
      <c r="B304" s="501" t="s">
        <v>639</v>
      </c>
      <c r="C304" s="501" t="s">
        <v>690</v>
      </c>
      <c r="D304" s="510" t="s">
        <v>703</v>
      </c>
      <c r="E304" s="504" t="s">
        <v>68</v>
      </c>
      <c r="F304" s="501" t="s">
        <v>1068</v>
      </c>
      <c r="G304" s="523">
        <v>-4.8866795806907413E-2</v>
      </c>
      <c r="H304" s="523">
        <v>-4.1545608679122353E-2</v>
      </c>
      <c r="I304" s="535">
        <v>0.24677821000000003</v>
      </c>
    </row>
    <row r="305" spans="1:9">
      <c r="A305" s="501" t="s">
        <v>57</v>
      </c>
      <c r="B305" s="501" t="s">
        <v>639</v>
      </c>
      <c r="C305" s="501" t="s">
        <v>690</v>
      </c>
      <c r="D305" s="510" t="s">
        <v>640</v>
      </c>
      <c r="E305" s="504" t="s">
        <v>68</v>
      </c>
      <c r="F305" s="501" t="s">
        <v>1175</v>
      </c>
      <c r="G305" s="523">
        <v>-1.6745339178911099E-2</v>
      </c>
      <c r="H305" s="523">
        <v>1.0693704687448291E-2</v>
      </c>
      <c r="I305" s="546" t="s">
        <v>68</v>
      </c>
    </row>
    <row r="306" spans="1:9">
      <c r="A306" s="501" t="s">
        <v>57</v>
      </c>
      <c r="B306" s="501" t="s">
        <v>639</v>
      </c>
      <c r="C306" s="501" t="s">
        <v>690</v>
      </c>
      <c r="D306" s="510" t="s">
        <v>638</v>
      </c>
      <c r="E306" s="504" t="s">
        <v>68</v>
      </c>
      <c r="F306" s="501" t="s">
        <v>1011</v>
      </c>
      <c r="G306" s="523">
        <v>-3.0705909322625593E-2</v>
      </c>
      <c r="H306" s="523">
        <v>1.0693704687448291E-2</v>
      </c>
      <c r="I306" s="546" t="s">
        <v>68</v>
      </c>
    </row>
    <row r="307" spans="1:9">
      <c r="A307" s="501" t="s">
        <v>57</v>
      </c>
      <c r="B307" s="501" t="s">
        <v>639</v>
      </c>
      <c r="C307" s="501" t="s">
        <v>690</v>
      </c>
      <c r="D307" s="510" t="s">
        <v>702</v>
      </c>
      <c r="E307" s="504" t="s">
        <v>68</v>
      </c>
      <c r="F307" s="501" t="s">
        <v>1176</v>
      </c>
      <c r="G307" s="523">
        <v>2.3081361800346221E-2</v>
      </c>
      <c r="H307" s="523">
        <v>1.0693704687448291E-2</v>
      </c>
      <c r="I307" s="547" t="s">
        <v>701</v>
      </c>
    </row>
    <row r="308" spans="1:9">
      <c r="A308" s="501" t="s">
        <v>57</v>
      </c>
      <c r="B308" s="501" t="s">
        <v>629</v>
      </c>
      <c r="C308" s="501" t="s">
        <v>690</v>
      </c>
      <c r="D308" s="506" t="s">
        <v>630</v>
      </c>
      <c r="E308" s="504" t="s">
        <v>68</v>
      </c>
      <c r="F308" s="501" t="s">
        <v>1135</v>
      </c>
      <c r="G308" s="523">
        <v>0.37987304770643926</v>
      </c>
      <c r="H308" s="523">
        <v>0.47196157295828267</v>
      </c>
      <c r="I308" s="507">
        <v>0.34593741</v>
      </c>
    </row>
    <row r="309" spans="1:9">
      <c r="A309" s="501" t="s">
        <v>57</v>
      </c>
      <c r="B309" s="501" t="s">
        <v>618</v>
      </c>
      <c r="C309" s="501" t="s">
        <v>690</v>
      </c>
      <c r="D309" s="506" t="s">
        <v>626</v>
      </c>
      <c r="E309" s="504" t="s">
        <v>68</v>
      </c>
      <c r="F309" s="501" t="s">
        <v>1177</v>
      </c>
      <c r="G309" s="523">
        <v>4.0814116718937928E-2</v>
      </c>
      <c r="H309" s="523">
        <v>-2.0851233149351861E-2</v>
      </c>
      <c r="I309" s="507">
        <v>0.69047999999999998</v>
      </c>
    </row>
    <row r="310" spans="1:9">
      <c r="A310" s="501" t="s">
        <v>57</v>
      </c>
      <c r="B310" s="501" t="s">
        <v>618</v>
      </c>
      <c r="C310" s="501" t="s">
        <v>690</v>
      </c>
      <c r="D310" s="506" t="s">
        <v>700</v>
      </c>
      <c r="E310" s="504" t="s">
        <v>68</v>
      </c>
      <c r="F310" s="501" t="s">
        <v>1178</v>
      </c>
      <c r="G310" s="523">
        <v>-4.6835913561518602E-2</v>
      </c>
      <c r="H310" s="523">
        <v>-2.0851233149351861E-2</v>
      </c>
      <c r="I310" s="507">
        <v>0.69047999999999998</v>
      </c>
    </row>
    <row r="311" spans="1:9">
      <c r="A311" s="501" t="s">
        <v>57</v>
      </c>
      <c r="B311" s="501" t="s">
        <v>618</v>
      </c>
      <c r="C311" s="501" t="s">
        <v>690</v>
      </c>
      <c r="D311" s="506" t="s">
        <v>699</v>
      </c>
      <c r="E311" s="504" t="s">
        <v>68</v>
      </c>
      <c r="F311" s="501" t="s">
        <v>1086</v>
      </c>
      <c r="G311" s="523">
        <v>-3.2318328436354571E-2</v>
      </c>
      <c r="H311" s="523">
        <v>-2.0851233149351861E-2</v>
      </c>
      <c r="I311" s="507">
        <v>0.69047999999999998</v>
      </c>
    </row>
    <row r="312" spans="1:9">
      <c r="A312" s="501" t="s">
        <v>57</v>
      </c>
      <c r="B312" s="501" t="s">
        <v>605</v>
      </c>
      <c r="C312" s="501" t="s">
        <v>690</v>
      </c>
      <c r="D312" s="506" t="s">
        <v>606</v>
      </c>
      <c r="E312" s="504" t="s">
        <v>68</v>
      </c>
      <c r="F312" s="501" t="s">
        <v>1186</v>
      </c>
      <c r="G312" s="523">
        <v>-7.1250031140747874E-3</v>
      </c>
      <c r="H312" s="523">
        <v>2.9018949960469064E-2</v>
      </c>
      <c r="I312" s="507">
        <v>0.81294999999999995</v>
      </c>
    </row>
    <row r="313" spans="1:9">
      <c r="A313" s="501" t="s">
        <v>57</v>
      </c>
      <c r="B313" s="501" t="s">
        <v>605</v>
      </c>
      <c r="C313" s="501" t="s">
        <v>690</v>
      </c>
      <c r="D313" s="506" t="s">
        <v>698</v>
      </c>
      <c r="E313" s="504" t="s">
        <v>68</v>
      </c>
      <c r="F313" s="501" t="s">
        <v>1179</v>
      </c>
      <c r="G313" s="523">
        <v>-3.3101386343008667E-2</v>
      </c>
      <c r="H313" s="523">
        <v>1.8267173999740028E-2</v>
      </c>
      <c r="I313" s="507">
        <v>0.1633</v>
      </c>
    </row>
    <row r="314" spans="1:9">
      <c r="A314" s="501" t="s">
        <v>57</v>
      </c>
      <c r="B314" s="501" t="s">
        <v>597</v>
      </c>
      <c r="C314" s="501" t="s">
        <v>690</v>
      </c>
      <c r="D314" s="506" t="s">
        <v>599</v>
      </c>
      <c r="E314" s="504" t="s">
        <v>68</v>
      </c>
      <c r="F314" s="501" t="s">
        <v>1100</v>
      </c>
      <c r="G314" s="523">
        <v>-2.225188517043957E-3</v>
      </c>
      <c r="H314" s="523">
        <v>-4.4698781432117217E-2</v>
      </c>
      <c r="I314" s="507">
        <v>0.24016141999999999</v>
      </c>
    </row>
    <row r="315" spans="1:9">
      <c r="A315" s="501" t="s">
        <v>57</v>
      </c>
      <c r="B315" s="501" t="s">
        <v>597</v>
      </c>
      <c r="C315" s="501" t="s">
        <v>690</v>
      </c>
      <c r="D315" s="506" t="s">
        <v>596</v>
      </c>
      <c r="E315" s="504" t="s">
        <v>68</v>
      </c>
      <c r="F315" s="501" t="s">
        <v>1103</v>
      </c>
      <c r="G315" s="523">
        <v>1.468462473900374E-3</v>
      </c>
      <c r="H315" s="523">
        <v>-4.4698781432117217E-2</v>
      </c>
      <c r="I315" s="507">
        <v>0.24016141999999999</v>
      </c>
    </row>
    <row r="316" spans="1:9">
      <c r="A316" s="501" t="s">
        <v>57</v>
      </c>
      <c r="B316" s="501" t="s">
        <v>597</v>
      </c>
      <c r="C316" s="501" t="s">
        <v>690</v>
      </c>
      <c r="D316" s="506" t="s">
        <v>697</v>
      </c>
      <c r="E316" s="504" t="s">
        <v>68</v>
      </c>
      <c r="F316" s="501" t="s">
        <v>1104</v>
      </c>
      <c r="G316" s="523">
        <v>-1.0892463868473748E-2</v>
      </c>
      <c r="H316" s="523">
        <v>-4.4698781432117217E-2</v>
      </c>
      <c r="I316" s="507">
        <v>0.24016141999999999</v>
      </c>
    </row>
    <row r="317" spans="1:9">
      <c r="A317" s="501" t="s">
        <v>57</v>
      </c>
      <c r="B317" s="501" t="s">
        <v>696</v>
      </c>
      <c r="C317" s="501" t="s">
        <v>690</v>
      </c>
      <c r="D317" s="506" t="s">
        <v>695</v>
      </c>
      <c r="E317" s="504" t="s">
        <v>68</v>
      </c>
      <c r="F317" s="501" t="s">
        <v>1311</v>
      </c>
      <c r="G317" s="523">
        <v>-7.0744750115648902E-2</v>
      </c>
      <c r="H317" s="523">
        <v>2.7819728988015755</v>
      </c>
      <c r="I317" s="507">
        <v>0.26154795999999997</v>
      </c>
    </row>
    <row r="318" spans="1:9">
      <c r="A318" s="501" t="s">
        <v>57</v>
      </c>
      <c r="B318" s="501" t="s">
        <v>595</v>
      </c>
      <c r="C318" s="501" t="s">
        <v>690</v>
      </c>
      <c r="D318" s="506" t="s">
        <v>660</v>
      </c>
      <c r="E318" s="504" t="s">
        <v>68</v>
      </c>
      <c r="F318" s="501" t="s">
        <v>1121</v>
      </c>
      <c r="G318" s="523">
        <v>0.13358169238956891</v>
      </c>
      <c r="H318" s="523">
        <v>0.12823567317064952</v>
      </c>
      <c r="I318" s="507">
        <v>0.16194401999999999</v>
      </c>
    </row>
    <row r="319" spans="1:9">
      <c r="A319" s="501" t="s">
        <v>57</v>
      </c>
      <c r="B319" s="501" t="s">
        <v>595</v>
      </c>
      <c r="C319" s="501" t="s">
        <v>690</v>
      </c>
      <c r="D319" s="506" t="s">
        <v>694</v>
      </c>
      <c r="E319" s="504" t="s">
        <v>68</v>
      </c>
      <c r="F319" s="501" t="s">
        <v>1180</v>
      </c>
      <c r="G319" s="523">
        <v>-6.8763159348585387E-2</v>
      </c>
      <c r="H319" s="523">
        <v>0.12823567317064952</v>
      </c>
      <c r="I319" s="507">
        <v>0.16194401999999999</v>
      </c>
    </row>
    <row r="320" spans="1:9">
      <c r="A320" s="501" t="s">
        <v>57</v>
      </c>
      <c r="B320" s="501" t="s">
        <v>595</v>
      </c>
      <c r="C320" s="501" t="s">
        <v>690</v>
      </c>
      <c r="D320" s="506" t="s">
        <v>693</v>
      </c>
      <c r="E320" s="504" t="s">
        <v>68</v>
      </c>
      <c r="F320" s="501" t="s">
        <v>1181</v>
      </c>
      <c r="G320" s="523">
        <v>2.9943549046878834E-2</v>
      </c>
      <c r="H320" s="523">
        <v>0.12823567317064952</v>
      </c>
      <c r="I320" s="507">
        <v>0.16194401999999999</v>
      </c>
    </row>
    <row r="321" spans="1:9">
      <c r="A321" s="501" t="s">
        <v>57</v>
      </c>
      <c r="B321" s="501" t="s">
        <v>592</v>
      </c>
      <c r="C321" s="501" t="s">
        <v>690</v>
      </c>
      <c r="D321" s="506" t="s">
        <v>593</v>
      </c>
      <c r="E321" s="504" t="s">
        <v>68</v>
      </c>
      <c r="F321" s="501" t="s">
        <v>1124</v>
      </c>
      <c r="G321" s="523">
        <v>4.7570850202429148E-2</v>
      </c>
      <c r="H321" s="523">
        <v>-2.4023776486373858E-2</v>
      </c>
      <c r="I321" s="507">
        <v>7.8238199999999994E-2</v>
      </c>
    </row>
    <row r="322" spans="1:9">
      <c r="A322" s="501" t="s">
        <v>57</v>
      </c>
      <c r="B322" s="501" t="s">
        <v>592</v>
      </c>
      <c r="C322" s="501" t="s">
        <v>690</v>
      </c>
      <c r="D322" s="513" t="s">
        <v>594</v>
      </c>
      <c r="E322" s="504" t="s">
        <v>68</v>
      </c>
      <c r="F322" s="501" t="s">
        <v>1182</v>
      </c>
      <c r="G322" s="523">
        <v>6.2733383121732628E-2</v>
      </c>
      <c r="H322" s="523">
        <v>-2.4023776486373858E-2</v>
      </c>
      <c r="I322" s="507">
        <v>7.8238199999999994E-2</v>
      </c>
    </row>
    <row r="323" spans="1:9">
      <c r="A323" s="501" t="s">
        <v>57</v>
      </c>
      <c r="B323" s="501" t="s">
        <v>578</v>
      </c>
      <c r="C323" s="501" t="s">
        <v>690</v>
      </c>
      <c r="D323" s="506" t="s">
        <v>579</v>
      </c>
      <c r="E323" s="504" t="s">
        <v>68</v>
      </c>
      <c r="F323" s="501" t="s">
        <v>1183</v>
      </c>
      <c r="G323" s="523">
        <v>-5.6436181997623326E-2</v>
      </c>
      <c r="H323" s="523">
        <v>-2.4415442486922883E-2</v>
      </c>
      <c r="I323" s="507">
        <v>1.7114560000000001E-2</v>
      </c>
    </row>
    <row r="324" spans="1:9">
      <c r="A324" s="501" t="s">
        <v>57</v>
      </c>
      <c r="B324" s="501" t="s">
        <v>578</v>
      </c>
      <c r="C324" s="501" t="s">
        <v>690</v>
      </c>
      <c r="D324" s="506" t="s">
        <v>692</v>
      </c>
      <c r="E324" s="504" t="s">
        <v>68</v>
      </c>
      <c r="F324" s="501" t="s">
        <v>1184</v>
      </c>
      <c r="G324" s="523">
        <v>-4.0717819648675199E-2</v>
      </c>
      <c r="H324" s="523">
        <v>-2.4049299634446832E-2</v>
      </c>
      <c r="I324" s="507">
        <v>2.5946760000000003E-2</v>
      </c>
    </row>
    <row r="325" spans="1:9">
      <c r="A325" s="501" t="s">
        <v>57</v>
      </c>
      <c r="B325" s="501" t="s">
        <v>578</v>
      </c>
      <c r="C325" s="501" t="s">
        <v>690</v>
      </c>
      <c r="D325" s="506" t="s">
        <v>691</v>
      </c>
      <c r="E325" s="504" t="s">
        <v>68</v>
      </c>
      <c r="F325" s="501" t="s">
        <v>1185</v>
      </c>
      <c r="G325" s="523">
        <v>-2.9875332260117557E-2</v>
      </c>
      <c r="H325" s="523">
        <v>-3.8545020175681378E-2</v>
      </c>
      <c r="I325" s="507">
        <v>4.6420400000000001E-3</v>
      </c>
    </row>
    <row r="326" spans="1:9">
      <c r="A326" s="501" t="s">
        <v>57</v>
      </c>
      <c r="B326" s="501" t="s">
        <v>578</v>
      </c>
      <c r="C326" s="501" t="s">
        <v>690</v>
      </c>
      <c r="D326" s="506" t="s">
        <v>689</v>
      </c>
      <c r="E326" s="504" t="s">
        <v>68</v>
      </c>
      <c r="F326" s="501" t="s">
        <v>1107</v>
      </c>
      <c r="G326" s="523">
        <v>-2.9721472429033311E-2</v>
      </c>
      <c r="H326" s="523">
        <v>8.0588835759952734E-3</v>
      </c>
      <c r="I326" s="507">
        <v>2.82504E-3</v>
      </c>
    </row>
    <row r="327" spans="1:9">
      <c r="A327" s="501" t="s">
        <v>57</v>
      </c>
      <c r="B327" s="501" t="s">
        <v>639</v>
      </c>
      <c r="C327" s="501" t="s">
        <v>654</v>
      </c>
      <c r="D327" s="510" t="s">
        <v>688</v>
      </c>
      <c r="E327" s="504" t="s">
        <v>68</v>
      </c>
      <c r="F327" s="501" t="s">
        <v>1173</v>
      </c>
      <c r="G327" s="523">
        <v>-3.0753983616457869E-2</v>
      </c>
      <c r="H327" s="523">
        <v>3.4601861827599861E-2</v>
      </c>
      <c r="I327" s="508">
        <v>79.107529600000007</v>
      </c>
    </row>
    <row r="328" spans="1:9">
      <c r="A328" s="501" t="s">
        <v>57</v>
      </c>
      <c r="B328" s="501" t="s">
        <v>639</v>
      </c>
      <c r="C328" s="501" t="s">
        <v>654</v>
      </c>
      <c r="D328" s="510" t="s">
        <v>687</v>
      </c>
      <c r="E328" s="504" t="s">
        <v>68</v>
      </c>
      <c r="F328" s="501" t="s">
        <v>1187</v>
      </c>
      <c r="G328" s="523">
        <v>-3.0104206869934386E-2</v>
      </c>
      <c r="H328" s="523">
        <v>4.5430836831525163E-2</v>
      </c>
      <c r="I328" s="508">
        <v>62.915283200000005</v>
      </c>
    </row>
    <row r="329" spans="1:9">
      <c r="A329" s="501" t="s">
        <v>57</v>
      </c>
      <c r="B329" s="501" t="s">
        <v>639</v>
      </c>
      <c r="C329" s="501" t="s">
        <v>654</v>
      </c>
      <c r="D329" s="510" t="s">
        <v>686</v>
      </c>
      <c r="E329" s="504" t="s">
        <v>68</v>
      </c>
      <c r="F329" s="501" t="s">
        <v>1188</v>
      </c>
      <c r="G329" s="523">
        <v>4.4150110375275938E-3</v>
      </c>
      <c r="H329" s="523">
        <v>4.5430836831525163E-2</v>
      </c>
      <c r="I329" s="508">
        <v>62.915283200000005</v>
      </c>
    </row>
    <row r="330" spans="1:9">
      <c r="A330" s="501" t="s">
        <v>57</v>
      </c>
      <c r="B330" s="501" t="s">
        <v>639</v>
      </c>
      <c r="C330" s="501" t="s">
        <v>654</v>
      </c>
      <c r="D330" s="510" t="s">
        <v>638</v>
      </c>
      <c r="E330" s="504" t="s">
        <v>68</v>
      </c>
      <c r="F330" s="501" t="s">
        <v>1011</v>
      </c>
      <c r="G330" s="523">
        <v>-2.2269435131776733E-2</v>
      </c>
      <c r="H330" s="523">
        <v>4.5430836831525163E-2</v>
      </c>
      <c r="I330" s="508">
        <v>62.915283200000005</v>
      </c>
    </row>
    <row r="331" spans="1:9">
      <c r="A331" s="501" t="s">
        <v>57</v>
      </c>
      <c r="B331" s="501" t="s">
        <v>629</v>
      </c>
      <c r="C331" s="501" t="s">
        <v>654</v>
      </c>
      <c r="D331" s="510" t="s">
        <v>630</v>
      </c>
      <c r="E331" s="504" t="s">
        <v>655</v>
      </c>
      <c r="F331" s="501" t="s">
        <v>1135</v>
      </c>
      <c r="G331" s="523">
        <v>-1.9140582078801295E-2</v>
      </c>
      <c r="H331" s="523">
        <v>0.19654722879481459</v>
      </c>
      <c r="I331" s="507">
        <v>1.2372270599999997</v>
      </c>
    </row>
    <row r="332" spans="1:9">
      <c r="A332" s="501" t="s">
        <v>57</v>
      </c>
      <c r="B332" s="501" t="s">
        <v>609</v>
      </c>
      <c r="C332" s="501" t="s">
        <v>654</v>
      </c>
      <c r="D332" s="506" t="s">
        <v>685</v>
      </c>
      <c r="E332" s="504" t="s">
        <v>68</v>
      </c>
      <c r="F332" s="501" t="s">
        <v>1189</v>
      </c>
      <c r="G332" s="523">
        <v>-4.8419337516308912E-2</v>
      </c>
      <c r="H332" s="523">
        <v>8.1727860957657897E-2</v>
      </c>
      <c r="I332" s="502">
        <v>3.2854409999999994E-2</v>
      </c>
    </row>
    <row r="333" spans="1:9">
      <c r="A333" s="501" t="s">
        <v>57</v>
      </c>
      <c r="B333" s="501" t="s">
        <v>609</v>
      </c>
      <c r="C333" s="501" t="s">
        <v>654</v>
      </c>
      <c r="D333" s="506" t="s">
        <v>684</v>
      </c>
      <c r="E333" s="504" t="s">
        <v>68</v>
      </c>
      <c r="F333" s="501" t="s">
        <v>1190</v>
      </c>
      <c r="G333" s="523">
        <v>-4.0042937658469155E-2</v>
      </c>
      <c r="H333" s="523">
        <v>8.1727860957657897E-2</v>
      </c>
      <c r="I333" s="502">
        <v>3.2854409999999994E-2</v>
      </c>
    </row>
    <row r="334" spans="1:9">
      <c r="A334" s="501" t="s">
        <v>57</v>
      </c>
      <c r="B334" s="501" t="s">
        <v>609</v>
      </c>
      <c r="C334" s="501" t="s">
        <v>654</v>
      </c>
      <c r="D334" s="506" t="s">
        <v>683</v>
      </c>
      <c r="E334" s="504" t="s">
        <v>68</v>
      </c>
      <c r="F334" s="501" t="s">
        <v>1191</v>
      </c>
      <c r="G334" s="523">
        <v>-4.1356454394879304E-2</v>
      </c>
      <c r="H334" s="523">
        <v>8.1727860957657897E-2</v>
      </c>
      <c r="I334" s="502">
        <v>3.2854409999999994E-2</v>
      </c>
    </row>
    <row r="335" spans="1:9">
      <c r="A335" s="501" t="s">
        <v>57</v>
      </c>
      <c r="B335" s="501" t="s">
        <v>609</v>
      </c>
      <c r="C335" s="501" t="s">
        <v>654</v>
      </c>
      <c r="D335" s="506" t="s">
        <v>682</v>
      </c>
      <c r="E335" s="504" t="s">
        <v>68</v>
      </c>
      <c r="F335" s="501" t="s">
        <v>1192</v>
      </c>
      <c r="G335" s="523">
        <v>7.8145606816620972E-2</v>
      </c>
      <c r="H335" s="523">
        <v>8.1727860957657897E-2</v>
      </c>
      <c r="I335" s="502">
        <v>3.2854409999999994E-2</v>
      </c>
    </row>
    <row r="336" spans="1:9">
      <c r="A336" s="501" t="s">
        <v>57</v>
      </c>
      <c r="B336" s="501" t="s">
        <v>609</v>
      </c>
      <c r="C336" s="501" t="s">
        <v>654</v>
      </c>
      <c r="D336" s="506" t="s">
        <v>681</v>
      </c>
      <c r="E336" s="504" t="s">
        <v>68</v>
      </c>
      <c r="F336" s="501" t="s">
        <v>1193</v>
      </c>
      <c r="G336" s="523">
        <v>2.6977784124968505E-2</v>
      </c>
      <c r="H336" s="523">
        <v>8.1727860957657897E-2</v>
      </c>
      <c r="I336" s="502">
        <v>3.2854409999999994E-2</v>
      </c>
    </row>
    <row r="337" spans="1:9">
      <c r="A337" s="501" t="s">
        <v>57</v>
      </c>
      <c r="B337" s="501" t="s">
        <v>609</v>
      </c>
      <c r="C337" s="501" t="s">
        <v>654</v>
      </c>
      <c r="D337" s="506" t="s">
        <v>680</v>
      </c>
      <c r="E337" s="504" t="s">
        <v>68</v>
      </c>
      <c r="F337" s="501" t="s">
        <v>1194</v>
      </c>
      <c r="G337" s="523">
        <v>8.5275869992595815E-3</v>
      </c>
      <c r="H337" s="523">
        <v>8.1727860957657897E-2</v>
      </c>
      <c r="I337" s="502">
        <v>3.2854409999999994E-2</v>
      </c>
    </row>
    <row r="338" spans="1:9">
      <c r="A338" s="501" t="s">
        <v>57</v>
      </c>
      <c r="B338" s="501" t="s">
        <v>609</v>
      </c>
      <c r="C338" s="501" t="s">
        <v>654</v>
      </c>
      <c r="D338" s="506" t="s">
        <v>679</v>
      </c>
      <c r="E338" s="504" t="s">
        <v>68</v>
      </c>
      <c r="F338" s="501" t="s">
        <v>1195</v>
      </c>
      <c r="G338" s="523">
        <v>-9.9769621716791351E-3</v>
      </c>
      <c r="H338" s="523">
        <v>-3.7381603021797508E-2</v>
      </c>
      <c r="I338" s="507">
        <v>2.82</v>
      </c>
    </row>
    <row r="339" spans="1:9">
      <c r="A339" s="501" t="s">
        <v>57</v>
      </c>
      <c r="B339" s="501" t="s">
        <v>609</v>
      </c>
      <c r="C339" s="501" t="s">
        <v>654</v>
      </c>
      <c r="D339" s="506" t="s">
        <v>678</v>
      </c>
      <c r="E339" s="504" t="s">
        <v>68</v>
      </c>
      <c r="F339" s="501" t="s">
        <v>1196</v>
      </c>
      <c r="G339" s="523">
        <v>-4.2262271418638642E-2</v>
      </c>
      <c r="H339" s="523">
        <v>-3.7381603021797508E-2</v>
      </c>
      <c r="I339" s="507">
        <v>2.82</v>
      </c>
    </row>
    <row r="340" spans="1:9">
      <c r="A340" s="501" t="s">
        <v>57</v>
      </c>
      <c r="B340" s="501" t="s">
        <v>609</v>
      </c>
      <c r="C340" s="501" t="s">
        <v>654</v>
      </c>
      <c r="D340" s="506" t="s">
        <v>677</v>
      </c>
      <c r="E340" s="504" t="s">
        <v>68</v>
      </c>
      <c r="F340" s="501" t="s">
        <v>1197</v>
      </c>
      <c r="G340" s="523">
        <v>-1.1000551391435312E-2</v>
      </c>
      <c r="H340" s="523">
        <v>-3.7381603021797508E-2</v>
      </c>
      <c r="I340" s="507">
        <v>2.82</v>
      </c>
    </row>
    <row r="341" spans="1:9">
      <c r="A341" s="501" t="s">
        <v>57</v>
      </c>
      <c r="B341" s="501" t="s">
        <v>609</v>
      </c>
      <c r="C341" s="501" t="s">
        <v>654</v>
      </c>
      <c r="D341" s="506" t="s">
        <v>676</v>
      </c>
      <c r="E341" s="504" t="s">
        <v>68</v>
      </c>
      <c r="F341" s="501" t="s">
        <v>1139</v>
      </c>
      <c r="G341" s="523">
        <v>-5.9454613362786381E-2</v>
      </c>
      <c r="H341" s="523">
        <v>-3.7381603021797508E-2</v>
      </c>
      <c r="I341" s="507">
        <v>2.82</v>
      </c>
    </row>
    <row r="342" spans="1:9">
      <c r="A342" s="501" t="s">
        <v>57</v>
      </c>
      <c r="B342" s="501" t="s">
        <v>609</v>
      </c>
      <c r="C342" s="501" t="s">
        <v>654</v>
      </c>
      <c r="D342" s="506" t="s">
        <v>675</v>
      </c>
      <c r="E342" s="504" t="s">
        <v>68</v>
      </c>
      <c r="F342" s="501" t="s">
        <v>1140</v>
      </c>
      <c r="G342" s="523">
        <v>-5.7138191748328973E-2</v>
      </c>
      <c r="H342" s="523">
        <v>-3.7381603021797508E-2</v>
      </c>
      <c r="I342" s="507">
        <v>2.82</v>
      </c>
    </row>
    <row r="343" spans="1:9">
      <c r="A343" s="501" t="s">
        <v>57</v>
      </c>
      <c r="B343" s="501" t="s">
        <v>609</v>
      </c>
      <c r="C343" s="501" t="s">
        <v>654</v>
      </c>
      <c r="D343" s="506" t="s">
        <v>674</v>
      </c>
      <c r="E343" s="504" t="s">
        <v>68</v>
      </c>
      <c r="F343" s="501" t="s">
        <v>1141</v>
      </c>
      <c r="G343" s="523">
        <v>-5.3372285872238218E-2</v>
      </c>
      <c r="H343" s="523">
        <v>-3.7381603021797508E-2</v>
      </c>
      <c r="I343" s="507">
        <v>2.82</v>
      </c>
    </row>
    <row r="344" spans="1:9">
      <c r="A344" s="501" t="s">
        <v>57</v>
      </c>
      <c r="B344" s="501" t="s">
        <v>609</v>
      </c>
      <c r="C344" s="501" t="s">
        <v>654</v>
      </c>
      <c r="D344" s="506" t="s">
        <v>673</v>
      </c>
      <c r="E344" s="504" t="s">
        <v>68</v>
      </c>
      <c r="F344" s="501" t="s">
        <v>1198</v>
      </c>
      <c r="G344" s="523">
        <v>-4.2587620903975588E-2</v>
      </c>
      <c r="H344" s="523">
        <v>1.661392405063291E-2</v>
      </c>
      <c r="I344" s="502">
        <v>4.4273999999999995E-4</v>
      </c>
    </row>
    <row r="345" spans="1:9">
      <c r="A345" s="501" t="s">
        <v>57</v>
      </c>
      <c r="B345" s="501" t="s">
        <v>609</v>
      </c>
      <c r="C345" s="501" t="s">
        <v>654</v>
      </c>
      <c r="D345" s="506" t="s">
        <v>672</v>
      </c>
      <c r="E345" s="504" t="s">
        <v>68</v>
      </c>
      <c r="F345" s="501" t="s">
        <v>1096</v>
      </c>
      <c r="G345" s="523">
        <v>-6.9759582396392794E-2</v>
      </c>
      <c r="H345" s="523">
        <v>1.661392405063291E-2</v>
      </c>
      <c r="I345" s="502">
        <v>4.4273999999999995E-4</v>
      </c>
    </row>
    <row r="346" spans="1:9">
      <c r="A346" s="501" t="s">
        <v>57</v>
      </c>
      <c r="B346" s="501" t="s">
        <v>609</v>
      </c>
      <c r="C346" s="501" t="s">
        <v>654</v>
      </c>
      <c r="D346" s="506" t="s">
        <v>671</v>
      </c>
      <c r="E346" s="504" t="s">
        <v>68</v>
      </c>
      <c r="F346" s="501" t="s">
        <v>1199</v>
      </c>
      <c r="G346" s="523">
        <v>-5.6019019301124198E-2</v>
      </c>
      <c r="H346" s="523">
        <v>1.661392405063291E-2</v>
      </c>
      <c r="I346" s="502">
        <v>4.4273999999999995E-4</v>
      </c>
    </row>
    <row r="347" spans="1:9">
      <c r="A347" s="501" t="s">
        <v>57</v>
      </c>
      <c r="B347" s="501" t="s">
        <v>609</v>
      </c>
      <c r="C347" s="501" t="s">
        <v>654</v>
      </c>
      <c r="D347" s="506" t="s">
        <v>670</v>
      </c>
      <c r="E347" s="504" t="s">
        <v>68</v>
      </c>
      <c r="F347" s="501" t="s">
        <v>1200</v>
      </c>
      <c r="G347" s="523">
        <v>-5.1773346291534933E-2</v>
      </c>
      <c r="H347" s="523">
        <v>1.661392405063291E-2</v>
      </c>
      <c r="I347" s="502">
        <v>4.4273999999999995E-4</v>
      </c>
    </row>
    <row r="348" spans="1:9">
      <c r="A348" s="501" t="s">
        <v>57</v>
      </c>
      <c r="B348" s="501" t="s">
        <v>609</v>
      </c>
      <c r="C348" s="501" t="s">
        <v>654</v>
      </c>
      <c r="D348" s="506" t="s">
        <v>669</v>
      </c>
      <c r="E348" s="504" t="s">
        <v>68</v>
      </c>
      <c r="F348" s="501" t="s">
        <v>1201</v>
      </c>
      <c r="G348" s="523">
        <v>-5.0370345610639383E-2</v>
      </c>
      <c r="H348" s="523">
        <v>1.661392405063291E-2</v>
      </c>
      <c r="I348" s="502">
        <v>4.4273999999999995E-4</v>
      </c>
    </row>
    <row r="349" spans="1:9">
      <c r="A349" s="501" t="s">
        <v>57</v>
      </c>
      <c r="B349" s="501" t="s">
        <v>602</v>
      </c>
      <c r="C349" s="501" t="s">
        <v>654</v>
      </c>
      <c r="D349" s="506" t="s">
        <v>668</v>
      </c>
      <c r="E349" s="504" t="s">
        <v>655</v>
      </c>
      <c r="F349" s="501" t="s">
        <v>1202</v>
      </c>
      <c r="G349" s="523">
        <v>0.30134568332750788</v>
      </c>
      <c r="H349" s="523">
        <v>-2.4347756067389384E-2</v>
      </c>
      <c r="I349" s="535">
        <v>5.79244</v>
      </c>
    </row>
    <row r="350" spans="1:9">
      <c r="A350" s="501" t="s">
        <v>57</v>
      </c>
      <c r="B350" s="501" t="s">
        <v>602</v>
      </c>
      <c r="C350" s="501" t="s">
        <v>654</v>
      </c>
      <c r="D350" s="506" t="s">
        <v>667</v>
      </c>
      <c r="E350" s="504" t="s">
        <v>655</v>
      </c>
      <c r="F350" s="501" t="s">
        <v>1203</v>
      </c>
      <c r="G350" s="523">
        <v>-2.4526498939968892E-2</v>
      </c>
      <c r="H350" s="523">
        <v>-2.4347756067389384E-2</v>
      </c>
      <c r="I350" s="535">
        <v>5.79244</v>
      </c>
    </row>
    <row r="351" spans="1:9">
      <c r="A351" s="501" t="s">
        <v>57</v>
      </c>
      <c r="B351" s="501" t="s">
        <v>602</v>
      </c>
      <c r="C351" s="501" t="s">
        <v>654</v>
      </c>
      <c r="D351" s="506" t="s">
        <v>666</v>
      </c>
      <c r="E351" s="504" t="s">
        <v>655</v>
      </c>
      <c r="F351" s="501" t="s">
        <v>1204</v>
      </c>
      <c r="G351" s="523">
        <v>-1.8855786307129137E-2</v>
      </c>
      <c r="H351" s="523">
        <v>-2.4347756067389384E-2</v>
      </c>
      <c r="I351" s="535">
        <v>5.79244</v>
      </c>
    </row>
    <row r="352" spans="1:9">
      <c r="A352" s="501" t="s">
        <v>57</v>
      </c>
      <c r="B352" s="501" t="s">
        <v>602</v>
      </c>
      <c r="C352" s="501" t="s">
        <v>654</v>
      </c>
      <c r="D352" s="506" t="s">
        <v>665</v>
      </c>
      <c r="E352" s="504" t="s">
        <v>655</v>
      </c>
      <c r="F352" s="501" t="s">
        <v>1205</v>
      </c>
      <c r="G352" s="523">
        <v>2.3691798784201853E-2</v>
      </c>
      <c r="H352" s="523">
        <v>-2.4347756067389384E-2</v>
      </c>
      <c r="I352" s="535">
        <v>5.79244</v>
      </c>
    </row>
    <row r="353" spans="1:9">
      <c r="A353" s="501" t="s">
        <v>57</v>
      </c>
      <c r="B353" s="501" t="s">
        <v>602</v>
      </c>
      <c r="C353" s="501" t="s">
        <v>654</v>
      </c>
      <c r="D353" s="506" t="s">
        <v>664</v>
      </c>
      <c r="E353" s="504" t="s">
        <v>655</v>
      </c>
      <c r="F353" s="501" t="s">
        <v>1206</v>
      </c>
      <c r="G353" s="523">
        <v>1.4515405635621497E-2</v>
      </c>
      <c r="H353" s="523">
        <v>-2.4347756067389384E-2</v>
      </c>
      <c r="I353" s="535">
        <v>5.79244</v>
      </c>
    </row>
    <row r="354" spans="1:9">
      <c r="A354" s="501" t="s">
        <v>57</v>
      </c>
      <c r="B354" s="501" t="s">
        <v>602</v>
      </c>
      <c r="C354" s="501" t="s">
        <v>654</v>
      </c>
      <c r="D354" s="506" t="s">
        <v>663</v>
      </c>
      <c r="E354" s="504" t="s">
        <v>655</v>
      </c>
      <c r="F354" s="501" t="s">
        <v>1207</v>
      </c>
      <c r="G354" s="523">
        <v>4.5018657159028135E-2</v>
      </c>
      <c r="H354" s="523">
        <v>-2.4347756067389384E-2</v>
      </c>
      <c r="I354" s="535">
        <v>5.79244</v>
      </c>
    </row>
    <row r="355" spans="1:9">
      <c r="A355" s="501" t="s">
        <v>57</v>
      </c>
      <c r="B355" s="501" t="s">
        <v>602</v>
      </c>
      <c r="C355" s="501" t="s">
        <v>654</v>
      </c>
      <c r="D355" s="506" t="s">
        <v>662</v>
      </c>
      <c r="E355" s="504" t="s">
        <v>655</v>
      </c>
      <c r="F355" s="501" t="s">
        <v>1208</v>
      </c>
      <c r="G355" s="523">
        <v>-6.1926173854749784E-3</v>
      </c>
      <c r="H355" s="523">
        <v>-2.4347756067389384E-2</v>
      </c>
      <c r="I355" s="535">
        <v>5.79244</v>
      </c>
    </row>
    <row r="356" spans="1:9">
      <c r="A356" s="501" t="s">
        <v>57</v>
      </c>
      <c r="B356" s="501" t="s">
        <v>602</v>
      </c>
      <c r="C356" s="501" t="s">
        <v>654</v>
      </c>
      <c r="D356" s="506" t="s">
        <v>661</v>
      </c>
      <c r="E356" s="504" t="s">
        <v>655</v>
      </c>
      <c r="F356" s="501" t="s">
        <v>1209</v>
      </c>
      <c r="G356" s="523">
        <v>2.0671261858070744E-3</v>
      </c>
      <c r="H356" s="523">
        <v>-2.4347756067389384E-2</v>
      </c>
      <c r="I356" s="535">
        <v>5.79244</v>
      </c>
    </row>
    <row r="357" spans="1:9">
      <c r="A357" s="501" t="s">
        <v>57</v>
      </c>
      <c r="B357" s="501" t="s">
        <v>602</v>
      </c>
      <c r="C357" s="501" t="s">
        <v>654</v>
      </c>
      <c r="D357" s="511" t="s">
        <v>668</v>
      </c>
      <c r="E357" s="504" t="s">
        <v>652</v>
      </c>
      <c r="F357" s="501" t="s">
        <v>1210</v>
      </c>
      <c r="G357" s="523">
        <v>0.2239013284931845</v>
      </c>
      <c r="H357" s="523">
        <v>0.30745572549196187</v>
      </c>
      <c r="I357" s="512">
        <v>22.842880000000001</v>
      </c>
    </row>
    <row r="358" spans="1:9">
      <c r="A358" s="501" t="s">
        <v>57</v>
      </c>
      <c r="B358" s="501" t="s">
        <v>602</v>
      </c>
      <c r="C358" s="501" t="s">
        <v>654</v>
      </c>
      <c r="D358" s="511" t="s">
        <v>667</v>
      </c>
      <c r="E358" s="504" t="s">
        <v>652</v>
      </c>
      <c r="F358" s="501" t="s">
        <v>1211</v>
      </c>
      <c r="G358" s="523">
        <v>5.938779776911441E-2</v>
      </c>
      <c r="H358" s="523">
        <v>0.30745572549196187</v>
      </c>
      <c r="I358" s="507">
        <v>22.842880000000001</v>
      </c>
    </row>
    <row r="359" spans="1:9">
      <c r="A359" s="501" t="s">
        <v>57</v>
      </c>
      <c r="B359" s="501" t="s">
        <v>602</v>
      </c>
      <c r="C359" s="501" t="s">
        <v>654</v>
      </c>
      <c r="D359" s="511" t="s">
        <v>666</v>
      </c>
      <c r="E359" s="504" t="s">
        <v>652</v>
      </c>
      <c r="F359" s="501" t="s">
        <v>1212</v>
      </c>
      <c r="G359" s="523">
        <v>-1.0154858559927012E-3</v>
      </c>
      <c r="H359" s="523">
        <v>0.30745572549196187</v>
      </c>
      <c r="I359" s="507">
        <v>22.842880000000001</v>
      </c>
    </row>
    <row r="360" spans="1:9">
      <c r="A360" s="501" t="s">
        <v>57</v>
      </c>
      <c r="B360" s="501" t="s">
        <v>602</v>
      </c>
      <c r="C360" s="501" t="s">
        <v>654</v>
      </c>
      <c r="D360" s="511" t="s">
        <v>665</v>
      </c>
      <c r="E360" s="504" t="s">
        <v>652</v>
      </c>
      <c r="F360" s="501" t="s">
        <v>1213</v>
      </c>
      <c r="G360" s="523">
        <v>4.7400031244621631E-2</v>
      </c>
      <c r="H360" s="523">
        <v>0.30745572549196187</v>
      </c>
      <c r="I360" s="507">
        <v>22.842880000000001</v>
      </c>
    </row>
    <row r="361" spans="1:9">
      <c r="A361" s="501" t="s">
        <v>57</v>
      </c>
      <c r="B361" s="501" t="s">
        <v>602</v>
      </c>
      <c r="C361" s="501" t="s">
        <v>654</v>
      </c>
      <c r="D361" s="511" t="s">
        <v>664</v>
      </c>
      <c r="E361" s="504" t="s">
        <v>652</v>
      </c>
      <c r="F361" s="501" t="s">
        <v>1214</v>
      </c>
      <c r="G361" s="523">
        <v>3.9278862745511733E-2</v>
      </c>
      <c r="H361" s="523">
        <v>0.30745572549196187</v>
      </c>
      <c r="I361" s="507">
        <v>22.842880000000001</v>
      </c>
    </row>
    <row r="362" spans="1:9">
      <c r="A362" s="501" t="s">
        <v>57</v>
      </c>
      <c r="B362" s="501" t="s">
        <v>602</v>
      </c>
      <c r="C362" s="501" t="s">
        <v>654</v>
      </c>
      <c r="D362" s="511" t="s">
        <v>663</v>
      </c>
      <c r="E362" s="504" t="s">
        <v>652</v>
      </c>
      <c r="F362" s="501" t="s">
        <v>1215</v>
      </c>
      <c r="G362" s="523">
        <v>0.15763661710381749</v>
      </c>
      <c r="H362" s="523">
        <v>0.30745572549196187</v>
      </c>
      <c r="I362" s="507">
        <v>22.842880000000001</v>
      </c>
    </row>
    <row r="363" spans="1:9">
      <c r="A363" s="501" t="s">
        <v>57</v>
      </c>
      <c r="B363" s="501" t="s">
        <v>602</v>
      </c>
      <c r="C363" s="501" t="s">
        <v>654</v>
      </c>
      <c r="D363" s="511" t="s">
        <v>662</v>
      </c>
      <c r="E363" s="504" t="s">
        <v>652</v>
      </c>
      <c r="F363" s="501" t="s">
        <v>1216</v>
      </c>
      <c r="G363" s="523">
        <v>0.10793389982987488</v>
      </c>
      <c r="H363" s="523">
        <v>0.30745572549196187</v>
      </c>
      <c r="I363" s="507">
        <v>22.842880000000001</v>
      </c>
    </row>
    <row r="364" spans="1:9">
      <c r="A364" s="501" t="s">
        <v>57</v>
      </c>
      <c r="B364" s="501" t="s">
        <v>602</v>
      </c>
      <c r="C364" s="501" t="s">
        <v>654</v>
      </c>
      <c r="D364" s="511" t="s">
        <v>661</v>
      </c>
      <c r="E364" s="504" t="s">
        <v>652</v>
      </c>
      <c r="F364" s="501" t="s">
        <v>1217</v>
      </c>
      <c r="G364" s="523">
        <v>0.11261793402366387</v>
      </c>
      <c r="H364" s="523">
        <v>0.30745572549196187</v>
      </c>
      <c r="I364" s="507">
        <v>22.842880000000001</v>
      </c>
    </row>
    <row r="365" spans="1:9">
      <c r="A365" s="501" t="s">
        <v>57</v>
      </c>
      <c r="B365" s="501" t="s">
        <v>592</v>
      </c>
      <c r="C365" s="501" t="s">
        <v>654</v>
      </c>
      <c r="D365" s="506" t="s">
        <v>658</v>
      </c>
      <c r="E365" s="504" t="s">
        <v>655</v>
      </c>
      <c r="F365" s="501" t="s">
        <v>1218</v>
      </c>
      <c r="G365" s="523">
        <v>-1.8661041320692032E-2</v>
      </c>
      <c r="H365" s="523">
        <v>-3.0290905096490493E-2</v>
      </c>
      <c r="I365" s="535">
        <v>0.30517334999999995</v>
      </c>
    </row>
    <row r="366" spans="1:9">
      <c r="A366" s="501" t="s">
        <v>57</v>
      </c>
      <c r="B366" s="501" t="s">
        <v>592</v>
      </c>
      <c r="C366" s="501" t="s">
        <v>654</v>
      </c>
      <c r="D366" s="506" t="s">
        <v>658</v>
      </c>
      <c r="E366" s="504" t="s">
        <v>652</v>
      </c>
      <c r="F366" s="501" t="s">
        <v>1219</v>
      </c>
      <c r="G366" s="523">
        <v>-1.8608020576414131E-2</v>
      </c>
      <c r="H366" s="523">
        <v>-2.3655805597736349E-2</v>
      </c>
      <c r="I366" s="535">
        <v>6.3607042099999997</v>
      </c>
    </row>
    <row r="367" spans="1:9">
      <c r="A367" s="501" t="s">
        <v>57</v>
      </c>
      <c r="B367" s="501" t="s">
        <v>590</v>
      </c>
      <c r="C367" s="501" t="s">
        <v>654</v>
      </c>
      <c r="D367" s="506" t="s">
        <v>657</v>
      </c>
      <c r="E367" s="504" t="s">
        <v>655</v>
      </c>
      <c r="F367" s="501" t="s">
        <v>1220</v>
      </c>
      <c r="G367" s="523">
        <v>-3.1979426651016454E-2</v>
      </c>
      <c r="H367" s="523">
        <v>-7.7950637414549743E-3</v>
      </c>
      <c r="I367" s="535">
        <v>0.19275759999999997</v>
      </c>
    </row>
    <row r="368" spans="1:9">
      <c r="A368" s="501" t="s">
        <v>57</v>
      </c>
      <c r="B368" s="501" t="s">
        <v>590</v>
      </c>
      <c r="C368" s="501" t="s">
        <v>654</v>
      </c>
      <c r="D368" s="506" t="s">
        <v>657</v>
      </c>
      <c r="E368" s="504" t="s">
        <v>652</v>
      </c>
      <c r="F368" s="501" t="s">
        <v>1221</v>
      </c>
      <c r="G368" s="523">
        <v>-2.1779345089878153E-3</v>
      </c>
      <c r="H368" s="523">
        <v>-1.1661512109185677E-2</v>
      </c>
      <c r="I368" s="507">
        <v>1.298535</v>
      </c>
    </row>
    <row r="369" spans="1:9">
      <c r="A369" s="501" t="s">
        <v>57</v>
      </c>
      <c r="B369" s="501" t="s">
        <v>578</v>
      </c>
      <c r="C369" s="501" t="s">
        <v>654</v>
      </c>
      <c r="D369" s="506" t="s">
        <v>656</v>
      </c>
      <c r="E369" s="504" t="s">
        <v>68</v>
      </c>
      <c r="F369" s="501" t="s">
        <v>1222</v>
      </c>
      <c r="G369" s="523">
        <v>-3.9879563499653006E-2</v>
      </c>
      <c r="H369" s="523">
        <v>-2.6687480603813821E-2</v>
      </c>
      <c r="I369" s="507">
        <v>0.15922981</v>
      </c>
    </row>
    <row r="370" spans="1:9">
      <c r="A370" s="501" t="s">
        <v>57</v>
      </c>
      <c r="B370" s="501" t="s">
        <v>578</v>
      </c>
      <c r="C370" s="501" t="s">
        <v>654</v>
      </c>
      <c r="D370" s="506" t="s">
        <v>653</v>
      </c>
      <c r="E370" s="504" t="s">
        <v>655</v>
      </c>
      <c r="F370" s="501" t="s">
        <v>1223</v>
      </c>
      <c r="G370" s="523">
        <v>1.6357242968457416E-2</v>
      </c>
      <c r="H370" s="523">
        <v>9.7593829075443103E-2</v>
      </c>
      <c r="I370" s="507">
        <v>0.15922981</v>
      </c>
    </row>
    <row r="371" spans="1:9">
      <c r="A371" s="501" t="s">
        <v>57</v>
      </c>
      <c r="B371" s="501" t="s">
        <v>578</v>
      </c>
      <c r="C371" s="501" t="s">
        <v>654</v>
      </c>
      <c r="D371" s="506" t="s">
        <v>653</v>
      </c>
      <c r="E371" s="504" t="s">
        <v>652</v>
      </c>
      <c r="F371" s="501" t="s">
        <v>1224</v>
      </c>
      <c r="G371" s="523">
        <v>-4.4478543575075731E-4</v>
      </c>
      <c r="H371" s="523">
        <v>-4.9850145227629894E-3</v>
      </c>
      <c r="I371" s="507">
        <v>0.40626934999999997</v>
      </c>
    </row>
    <row r="372" spans="1:9">
      <c r="A372" s="501" t="s">
        <v>57</v>
      </c>
      <c r="B372" s="501" t="s">
        <v>639</v>
      </c>
      <c r="C372" s="501" t="s">
        <v>577</v>
      </c>
      <c r="D372" s="510" t="s">
        <v>651</v>
      </c>
      <c r="E372" s="504" t="s">
        <v>68</v>
      </c>
      <c r="F372" s="501" t="s">
        <v>1171</v>
      </c>
      <c r="G372" s="523">
        <v>0.13482077397110981</v>
      </c>
      <c r="H372" s="523">
        <v>-2.2226042920333238E-2</v>
      </c>
      <c r="I372" s="507">
        <v>1.7197445600000001</v>
      </c>
    </row>
    <row r="373" spans="1:9">
      <c r="A373" s="501" t="s">
        <v>57</v>
      </c>
      <c r="B373" s="501" t="s">
        <v>639</v>
      </c>
      <c r="C373" s="501" t="s">
        <v>577</v>
      </c>
      <c r="D373" s="510" t="s">
        <v>650</v>
      </c>
      <c r="E373" s="504" t="s">
        <v>68</v>
      </c>
      <c r="F373" s="501" t="s">
        <v>1225</v>
      </c>
      <c r="G373" s="523">
        <v>-4.9851505724670814E-2</v>
      </c>
      <c r="H373" s="523">
        <v>-2.2226042920333238E-2</v>
      </c>
      <c r="I373" s="507">
        <v>1.7197445600000001</v>
      </c>
    </row>
    <row r="374" spans="1:9">
      <c r="A374" s="501" t="s">
        <v>57</v>
      </c>
      <c r="B374" s="501" t="s">
        <v>639</v>
      </c>
      <c r="C374" s="501" t="s">
        <v>577</v>
      </c>
      <c r="D374" s="510" t="s">
        <v>649</v>
      </c>
      <c r="E374" s="504" t="s">
        <v>68</v>
      </c>
      <c r="F374" s="501" t="s">
        <v>1226</v>
      </c>
      <c r="G374" s="523">
        <v>4.4074685491123566E-3</v>
      </c>
      <c r="H374" s="523">
        <v>-2.2226042920333238E-2</v>
      </c>
      <c r="I374" s="507">
        <v>1.7197445600000001</v>
      </c>
    </row>
    <row r="375" spans="1:9">
      <c r="A375" s="501" t="s">
        <v>57</v>
      </c>
      <c r="B375" s="501" t="s">
        <v>639</v>
      </c>
      <c r="C375" s="501" t="s">
        <v>577</v>
      </c>
      <c r="D375" s="510" t="s">
        <v>648</v>
      </c>
      <c r="E375" s="504" t="s">
        <v>68</v>
      </c>
      <c r="F375" s="501" t="s">
        <v>1227</v>
      </c>
      <c r="G375" s="523">
        <v>3.9111217957568604E-2</v>
      </c>
      <c r="H375" s="523">
        <v>-2.2226042920333238E-2</v>
      </c>
      <c r="I375" s="507">
        <v>1.7197445600000001</v>
      </c>
    </row>
    <row r="376" spans="1:9">
      <c r="A376" s="501" t="s">
        <v>57</v>
      </c>
      <c r="B376" s="501" t="s">
        <v>639</v>
      </c>
      <c r="C376" s="501" t="s">
        <v>577</v>
      </c>
      <c r="D376" s="510" t="s">
        <v>647</v>
      </c>
      <c r="E376" s="504" t="s">
        <v>68</v>
      </c>
      <c r="F376" s="501" t="s">
        <v>1228</v>
      </c>
      <c r="G376" s="523">
        <v>-4.0379549276346433E-2</v>
      </c>
      <c r="H376" s="523">
        <v>-2.2226042920333238E-2</v>
      </c>
      <c r="I376" s="507">
        <v>1.7197445600000001</v>
      </c>
    </row>
    <row r="377" spans="1:9">
      <c r="A377" s="501" t="s">
        <v>57</v>
      </c>
      <c r="B377" s="501" t="s">
        <v>639</v>
      </c>
      <c r="C377" s="501" t="s">
        <v>577</v>
      </c>
      <c r="D377" s="510" t="s">
        <v>646</v>
      </c>
      <c r="E377" s="504" t="s">
        <v>68</v>
      </c>
      <c r="F377" s="501" t="s">
        <v>1229</v>
      </c>
      <c r="G377" s="523">
        <v>-1.3416419484616993E-2</v>
      </c>
      <c r="H377" s="523">
        <v>-2.2226042920333238E-2</v>
      </c>
      <c r="I377" s="507">
        <v>1.7197445600000001</v>
      </c>
    </row>
    <row r="378" spans="1:9">
      <c r="A378" s="501" t="s">
        <v>57</v>
      </c>
      <c r="B378" s="501" t="s">
        <v>639</v>
      </c>
      <c r="C378" s="501" t="s">
        <v>577</v>
      </c>
      <c r="D378" s="510" t="s">
        <v>645</v>
      </c>
      <c r="E378" s="504" t="s">
        <v>68</v>
      </c>
      <c r="F378" s="501" t="s">
        <v>1230</v>
      </c>
      <c r="G378" s="523">
        <v>-5.4464847405401194E-3</v>
      </c>
      <c r="H378" s="523">
        <v>-2.2226042920333238E-2</v>
      </c>
      <c r="I378" s="507">
        <v>1.7197445600000001</v>
      </c>
    </row>
    <row r="379" spans="1:9">
      <c r="A379" s="501" t="s">
        <v>57</v>
      </c>
      <c r="B379" s="501" t="s">
        <v>639</v>
      </c>
      <c r="C379" s="501" t="s">
        <v>577</v>
      </c>
      <c r="D379" s="510" t="s">
        <v>644</v>
      </c>
      <c r="E379" s="504" t="s">
        <v>68</v>
      </c>
      <c r="F379" s="501" t="s">
        <v>1231</v>
      </c>
      <c r="G379" s="523">
        <v>-1.9497436303547302E-2</v>
      </c>
      <c r="H379" s="523">
        <v>-2.2226042920333238E-2</v>
      </c>
      <c r="I379" s="507">
        <v>1.7197445600000001</v>
      </c>
    </row>
    <row r="380" spans="1:9">
      <c r="A380" s="501" t="s">
        <v>57</v>
      </c>
      <c r="B380" s="501" t="s">
        <v>639</v>
      </c>
      <c r="C380" s="501" t="s">
        <v>577</v>
      </c>
      <c r="D380" s="510" t="s">
        <v>643</v>
      </c>
      <c r="E380" s="504" t="s">
        <v>68</v>
      </c>
      <c r="F380" s="501" t="s">
        <v>1232</v>
      </c>
      <c r="G380" s="523">
        <v>1.26460571611605E-2</v>
      </c>
      <c r="H380" s="523">
        <v>-2.2226042920333238E-2</v>
      </c>
      <c r="I380" s="507">
        <v>1.7197445600000001</v>
      </c>
    </row>
    <row r="381" spans="1:9">
      <c r="A381" s="501" t="s">
        <v>57</v>
      </c>
      <c r="B381" s="501" t="s">
        <v>639</v>
      </c>
      <c r="C381" s="501" t="s">
        <v>577</v>
      </c>
      <c r="D381" s="510" t="s">
        <v>642</v>
      </c>
      <c r="E381" s="504" t="s">
        <v>68</v>
      </c>
      <c r="F381" s="501" t="s">
        <v>1233</v>
      </c>
      <c r="G381" s="523">
        <v>2.4229371382420246E-3</v>
      </c>
      <c r="H381" s="523">
        <v>-3.386040677771953E-3</v>
      </c>
      <c r="I381" s="507">
        <v>0.46129544000000006</v>
      </c>
    </row>
    <row r="382" spans="1:9">
      <c r="A382" s="501" t="s">
        <v>57</v>
      </c>
      <c r="B382" s="501" t="s">
        <v>639</v>
      </c>
      <c r="C382" s="501" t="s">
        <v>577</v>
      </c>
      <c r="D382" s="510" t="s">
        <v>641</v>
      </c>
      <c r="E382" s="504" t="s">
        <v>68</v>
      </c>
      <c r="F382" s="501" t="s">
        <v>1234</v>
      </c>
      <c r="G382" s="523">
        <v>0.14769735207908985</v>
      </c>
      <c r="H382" s="523">
        <v>-3.386040677771953E-3</v>
      </c>
      <c r="I382" s="507">
        <v>0.46129544000000006</v>
      </c>
    </row>
    <row r="383" spans="1:9">
      <c r="A383" s="501" t="s">
        <v>57</v>
      </c>
      <c r="B383" s="501" t="s">
        <v>639</v>
      </c>
      <c r="C383" s="501" t="s">
        <v>577</v>
      </c>
      <c r="D383" s="510" t="s">
        <v>640</v>
      </c>
      <c r="E383" s="504" t="s">
        <v>68</v>
      </c>
      <c r="F383" s="501" t="s">
        <v>1235</v>
      </c>
      <c r="G383" s="523">
        <v>-5.8223548682081731E-2</v>
      </c>
      <c r="H383" s="523">
        <v>-3.386040677771953E-3</v>
      </c>
      <c r="I383" s="507">
        <v>0.46129544000000006</v>
      </c>
    </row>
    <row r="384" spans="1:9">
      <c r="A384" s="501" t="s">
        <v>57</v>
      </c>
      <c r="B384" s="501" t="s">
        <v>639</v>
      </c>
      <c r="C384" s="501" t="s">
        <v>577</v>
      </c>
      <c r="D384" s="509" t="s">
        <v>638</v>
      </c>
      <c r="E384" s="504" t="s">
        <v>68</v>
      </c>
      <c r="F384" s="501" t="s">
        <v>1236</v>
      </c>
      <c r="G384" s="523">
        <v>5.2447150596511186E-2</v>
      </c>
      <c r="H384" s="523">
        <v>-3.386040677771953E-3</v>
      </c>
      <c r="I384" s="507">
        <v>0.46129544000000006</v>
      </c>
    </row>
    <row r="385" spans="1:9">
      <c r="A385" s="501" t="s">
        <v>57</v>
      </c>
      <c r="B385" s="501" t="s">
        <v>629</v>
      </c>
      <c r="C385" s="501" t="s">
        <v>577</v>
      </c>
      <c r="D385" s="506" t="s">
        <v>637</v>
      </c>
      <c r="E385" s="504" t="s">
        <v>68</v>
      </c>
      <c r="F385" s="501" t="s">
        <v>1237</v>
      </c>
      <c r="G385" s="523">
        <v>3.2152674299147595E-2</v>
      </c>
      <c r="H385" s="523">
        <v>0.11390855403494848</v>
      </c>
      <c r="I385" s="507">
        <v>13.077336089999999</v>
      </c>
    </row>
    <row r="386" spans="1:9">
      <c r="A386" s="501" t="s">
        <v>57</v>
      </c>
      <c r="B386" s="501" t="s">
        <v>629</v>
      </c>
      <c r="C386" s="501" t="s">
        <v>577</v>
      </c>
      <c r="D386" s="506" t="s">
        <v>636</v>
      </c>
      <c r="E386" s="504" t="s">
        <v>68</v>
      </c>
      <c r="F386" s="501" t="s">
        <v>1238</v>
      </c>
      <c r="G386" s="523">
        <v>-1.5712682379349047E-2</v>
      </c>
      <c r="H386" s="523">
        <v>0.11390855403494848</v>
      </c>
      <c r="I386" s="507">
        <v>13.077336089999999</v>
      </c>
    </row>
    <row r="387" spans="1:9">
      <c r="A387" s="501" t="s">
        <v>57</v>
      </c>
      <c r="B387" s="501" t="s">
        <v>629</v>
      </c>
      <c r="C387" s="501" t="s">
        <v>577</v>
      </c>
      <c r="D387" s="506" t="s">
        <v>635</v>
      </c>
      <c r="E387" s="504" t="s">
        <v>68</v>
      </c>
      <c r="F387" s="501" t="s">
        <v>1135</v>
      </c>
      <c r="G387" s="523">
        <v>-2.1582052819234532E-2</v>
      </c>
      <c r="H387" s="523">
        <v>0.11390855403494848</v>
      </c>
      <c r="I387" s="507">
        <v>13.077336089999999</v>
      </c>
    </row>
    <row r="388" spans="1:9">
      <c r="A388" s="501" t="s">
        <v>57</v>
      </c>
      <c r="B388" s="501" t="s">
        <v>629</v>
      </c>
      <c r="C388" s="501" t="s">
        <v>577</v>
      </c>
      <c r="D388" s="506" t="s">
        <v>634</v>
      </c>
      <c r="E388" s="504" t="s">
        <v>68</v>
      </c>
      <c r="F388" s="501" t="s">
        <v>1239</v>
      </c>
      <c r="G388" s="523">
        <v>6.841572741144086E-3</v>
      </c>
      <c r="H388" s="523">
        <v>5.2850577129467035E-3</v>
      </c>
      <c r="I388" s="507">
        <v>13.10860278</v>
      </c>
    </row>
    <row r="389" spans="1:9">
      <c r="A389" s="501" t="s">
        <v>57</v>
      </c>
      <c r="B389" s="501" t="s">
        <v>629</v>
      </c>
      <c r="C389" s="501" t="s">
        <v>577</v>
      </c>
      <c r="D389" s="506" t="s">
        <v>633</v>
      </c>
      <c r="E389" s="504" t="s">
        <v>68</v>
      </c>
      <c r="F389" s="501" t="s">
        <v>1240</v>
      </c>
      <c r="G389" s="523">
        <v>3.8014548810467496E-3</v>
      </c>
      <c r="H389" s="523">
        <v>6.9313727428898866E-2</v>
      </c>
      <c r="I389" s="507">
        <v>5.9316975899999997</v>
      </c>
    </row>
    <row r="390" spans="1:9">
      <c r="A390" s="501" t="s">
        <v>57</v>
      </c>
      <c r="B390" s="501" t="s">
        <v>629</v>
      </c>
      <c r="C390" s="501" t="s">
        <v>577</v>
      </c>
      <c r="D390" s="506" t="s">
        <v>632</v>
      </c>
      <c r="E390" s="504" t="s">
        <v>68</v>
      </c>
      <c r="F390" s="501" t="s">
        <v>1241</v>
      </c>
      <c r="G390" s="523">
        <v>-1.7110153581213268E-2</v>
      </c>
      <c r="H390" s="523">
        <v>-1.7379173250455304E-2</v>
      </c>
      <c r="I390" s="507">
        <v>8.6876981099999995</v>
      </c>
    </row>
    <row r="391" spans="1:9">
      <c r="A391" s="501" t="s">
        <v>57</v>
      </c>
      <c r="B391" s="501" t="s">
        <v>629</v>
      </c>
      <c r="C391" s="501" t="s">
        <v>577</v>
      </c>
      <c r="D391" s="506" t="s">
        <v>631</v>
      </c>
      <c r="E391" s="504" t="s">
        <v>68</v>
      </c>
      <c r="F391" s="501" t="s">
        <v>1242</v>
      </c>
      <c r="G391" s="523">
        <v>2.8177432438201769E-3</v>
      </c>
      <c r="H391" s="523">
        <v>-1.7379173250455304E-2</v>
      </c>
      <c r="I391" s="507">
        <v>8.6876981099999995</v>
      </c>
    </row>
    <row r="392" spans="1:9">
      <c r="A392" s="501" t="s">
        <v>57</v>
      </c>
      <c r="B392" s="501" t="s">
        <v>629</v>
      </c>
      <c r="C392" s="501" t="s">
        <v>577</v>
      </c>
      <c r="D392" s="506" t="s">
        <v>630</v>
      </c>
      <c r="E392" s="504" t="s">
        <v>68</v>
      </c>
      <c r="F392" s="501" t="s">
        <v>1135</v>
      </c>
      <c r="G392" s="523">
        <v>1.5748031496062992E-2</v>
      </c>
      <c r="H392" s="523">
        <v>-1.7379173250455304E-2</v>
      </c>
      <c r="I392" s="507">
        <v>8.6876981099999995</v>
      </c>
    </row>
    <row r="393" spans="1:9">
      <c r="A393" s="501" t="s">
        <v>57</v>
      </c>
      <c r="B393" s="501" t="s">
        <v>629</v>
      </c>
      <c r="C393" s="501" t="s">
        <v>577</v>
      </c>
      <c r="D393" s="506" t="s">
        <v>628</v>
      </c>
      <c r="E393" s="504" t="s">
        <v>68</v>
      </c>
      <c r="F393" s="501" t="s">
        <v>1243</v>
      </c>
      <c r="G393" s="523">
        <v>-1.6957330943682361E-2</v>
      </c>
      <c r="H393" s="523">
        <v>-1.11930236502221E-2</v>
      </c>
      <c r="I393" s="507">
        <v>1.34739696</v>
      </c>
    </row>
    <row r="394" spans="1:9">
      <c r="A394" s="501" t="s">
        <v>57</v>
      </c>
      <c r="B394" s="501" t="s">
        <v>618</v>
      </c>
      <c r="C394" s="501" t="s">
        <v>577</v>
      </c>
      <c r="D394" s="506" t="s">
        <v>627</v>
      </c>
      <c r="E394" s="504" t="s">
        <v>68</v>
      </c>
      <c r="F394" s="501" t="s">
        <v>1079</v>
      </c>
      <c r="G394" s="523">
        <v>1.608788267551297E-2</v>
      </c>
      <c r="H394" s="523">
        <v>5.2310000991009223E-3</v>
      </c>
      <c r="I394" s="507">
        <v>7.3840000000000003</v>
      </c>
    </row>
    <row r="395" spans="1:9">
      <c r="A395" s="501" t="s">
        <v>57</v>
      </c>
      <c r="B395" s="501" t="s">
        <v>618</v>
      </c>
      <c r="C395" s="501" t="s">
        <v>577</v>
      </c>
      <c r="D395" s="506" t="s">
        <v>626</v>
      </c>
      <c r="E395" s="504" t="s">
        <v>68</v>
      </c>
      <c r="F395" s="501" t="s">
        <v>1177</v>
      </c>
      <c r="G395" s="523">
        <v>8.9537613397657104E-2</v>
      </c>
      <c r="H395" s="523">
        <v>5.2310000991009223E-3</v>
      </c>
      <c r="I395" s="507">
        <v>7.3840000000000003</v>
      </c>
    </row>
    <row r="396" spans="1:9">
      <c r="A396" s="501" t="s">
        <v>57</v>
      </c>
      <c r="B396" s="501" t="s">
        <v>618</v>
      </c>
      <c r="C396" s="501" t="s">
        <v>577</v>
      </c>
      <c r="D396" s="506" t="s">
        <v>625</v>
      </c>
      <c r="E396" s="504" t="s">
        <v>68</v>
      </c>
      <c r="F396" s="501" t="s">
        <v>1244</v>
      </c>
      <c r="G396" s="523">
        <v>4.2626400576586607E-3</v>
      </c>
      <c r="H396" s="523">
        <v>5.2310000991009223E-3</v>
      </c>
      <c r="I396" s="507">
        <v>7.3840000000000003</v>
      </c>
    </row>
    <row r="397" spans="1:9">
      <c r="A397" s="501" t="s">
        <v>57</v>
      </c>
      <c r="B397" s="501" t="s">
        <v>618</v>
      </c>
      <c r="C397" s="501" t="s">
        <v>577</v>
      </c>
      <c r="D397" s="506" t="s">
        <v>624</v>
      </c>
      <c r="E397" s="504" t="s">
        <v>68</v>
      </c>
      <c r="F397" s="501" t="s">
        <v>1082</v>
      </c>
      <c r="G397" s="523">
        <v>9.2996179321158928E-3</v>
      </c>
      <c r="H397" s="523">
        <v>5.2310000991009223E-3</v>
      </c>
      <c r="I397" s="507">
        <v>7.3840000000000003</v>
      </c>
    </row>
    <row r="398" spans="1:9">
      <c r="A398" s="501" t="s">
        <v>57</v>
      </c>
      <c r="B398" s="501" t="s">
        <v>618</v>
      </c>
      <c r="C398" s="501" t="s">
        <v>577</v>
      </c>
      <c r="D398" s="506" t="s">
        <v>623</v>
      </c>
      <c r="E398" s="504" t="s">
        <v>68</v>
      </c>
      <c r="F398" s="501" t="s">
        <v>1245</v>
      </c>
      <c r="G398" s="523">
        <v>-1.659017898118403E-2</v>
      </c>
      <c r="H398" s="523">
        <v>5.2310000991009223E-3</v>
      </c>
      <c r="I398" s="507">
        <v>7.3840000000000003</v>
      </c>
    </row>
    <row r="399" spans="1:9">
      <c r="A399" s="501" t="s">
        <v>57</v>
      </c>
      <c r="B399" s="501" t="s">
        <v>618</v>
      </c>
      <c r="C399" s="501" t="s">
        <v>577</v>
      </c>
      <c r="D399" s="506" t="s">
        <v>622</v>
      </c>
      <c r="E399" s="504" t="s">
        <v>68</v>
      </c>
      <c r="F399" s="501" t="s">
        <v>1246</v>
      </c>
      <c r="G399" s="523">
        <v>-1.6469878270905049E-2</v>
      </c>
      <c r="H399" s="523">
        <v>5.2310000991009223E-3</v>
      </c>
      <c r="I399" s="507">
        <v>7.3840000000000003</v>
      </c>
    </row>
    <row r="400" spans="1:9">
      <c r="A400" s="501" t="s">
        <v>57</v>
      </c>
      <c r="B400" s="501" t="s">
        <v>618</v>
      </c>
      <c r="C400" s="501" t="s">
        <v>577</v>
      </c>
      <c r="D400" s="506" t="s">
        <v>621</v>
      </c>
      <c r="E400" s="504" t="s">
        <v>68</v>
      </c>
      <c r="F400" s="501" t="s">
        <v>1247</v>
      </c>
      <c r="G400" s="523">
        <v>-2.9048109118845034E-2</v>
      </c>
      <c r="H400" s="523">
        <v>5.2310000991009223E-3</v>
      </c>
      <c r="I400" s="507">
        <v>7.3840000000000003</v>
      </c>
    </row>
    <row r="401" spans="1:9">
      <c r="A401" s="501" t="s">
        <v>57</v>
      </c>
      <c r="B401" s="501" t="s">
        <v>618</v>
      </c>
      <c r="C401" s="501" t="s">
        <v>577</v>
      </c>
      <c r="D401" s="506" t="s">
        <v>620</v>
      </c>
      <c r="E401" s="504" t="s">
        <v>68</v>
      </c>
      <c r="F401" s="501" t="s">
        <v>1077</v>
      </c>
      <c r="G401" s="523">
        <v>1.6913333067727663E-2</v>
      </c>
      <c r="H401" s="523">
        <v>5.2310000991009223E-3</v>
      </c>
      <c r="I401" s="507">
        <v>7.3840000000000003</v>
      </c>
    </row>
    <row r="402" spans="1:9">
      <c r="A402" s="501" t="s">
        <v>57</v>
      </c>
      <c r="B402" s="501" t="s">
        <v>618</v>
      </c>
      <c r="C402" s="501" t="s">
        <v>577</v>
      </c>
      <c r="D402" s="506" t="s">
        <v>619</v>
      </c>
      <c r="E402" s="504" t="s">
        <v>68</v>
      </c>
      <c r="F402" s="501" t="s">
        <v>1178</v>
      </c>
      <c r="G402" s="523">
        <v>-1.7679744452424592E-2</v>
      </c>
      <c r="H402" s="523">
        <v>5.2310000991009223E-3</v>
      </c>
      <c r="I402" s="507">
        <v>7.3840000000000003</v>
      </c>
    </row>
    <row r="403" spans="1:9">
      <c r="A403" s="501" t="s">
        <v>57</v>
      </c>
      <c r="B403" s="501" t="s">
        <v>618</v>
      </c>
      <c r="C403" s="501" t="s">
        <v>577</v>
      </c>
      <c r="D403" s="506" t="s">
        <v>617</v>
      </c>
      <c r="E403" s="504" t="s">
        <v>68</v>
      </c>
      <c r="F403" s="501" t="s">
        <v>1248</v>
      </c>
      <c r="G403" s="523">
        <v>-1.6896560788938041E-2</v>
      </c>
      <c r="H403" s="523">
        <v>5.2310000991009223E-3</v>
      </c>
      <c r="I403" s="507">
        <v>7.3840000000000003</v>
      </c>
    </row>
    <row r="404" spans="1:9">
      <c r="A404" s="501" t="s">
        <v>57</v>
      </c>
      <c r="B404" s="501" t="s">
        <v>609</v>
      </c>
      <c r="C404" s="501" t="s">
        <v>577</v>
      </c>
      <c r="D404" s="506" t="s">
        <v>616</v>
      </c>
      <c r="E404" s="504" t="s">
        <v>68</v>
      </c>
      <c r="F404" s="501" t="s">
        <v>1249</v>
      </c>
      <c r="G404" s="523">
        <v>-2.2516354477691011E-2</v>
      </c>
      <c r="H404" s="523">
        <v>-6.7662914291755957E-2</v>
      </c>
      <c r="I404" s="507">
        <v>0.18864700000000001</v>
      </c>
    </row>
    <row r="405" spans="1:9">
      <c r="A405" s="501" t="s">
        <v>57</v>
      </c>
      <c r="B405" s="501" t="s">
        <v>609</v>
      </c>
      <c r="C405" s="501" t="s">
        <v>577</v>
      </c>
      <c r="D405" s="506" t="s">
        <v>615</v>
      </c>
      <c r="E405" s="504" t="s">
        <v>68</v>
      </c>
      <c r="F405" s="501" t="s">
        <v>1138</v>
      </c>
      <c r="G405" s="523">
        <v>2.3329129886506934E-2</v>
      </c>
      <c r="H405" s="523">
        <v>-8.5475339982828621E-2</v>
      </c>
      <c r="I405" s="507">
        <v>3.3796E-4</v>
      </c>
    </row>
    <row r="406" spans="1:9">
      <c r="A406" s="501" t="s">
        <v>57</v>
      </c>
      <c r="B406" s="501" t="s">
        <v>609</v>
      </c>
      <c r="C406" s="501" t="s">
        <v>577</v>
      </c>
      <c r="D406" s="506" t="s">
        <v>614</v>
      </c>
      <c r="E406" s="504" t="s">
        <v>68</v>
      </c>
      <c r="F406" s="501" t="s">
        <v>1250</v>
      </c>
      <c r="G406" s="523">
        <v>4.9059689288634507E-3</v>
      </c>
      <c r="H406" s="523">
        <v>-8.5475339982828621E-2</v>
      </c>
      <c r="I406" s="507">
        <v>3.3796E-4</v>
      </c>
    </row>
    <row r="407" spans="1:9">
      <c r="A407" s="501" t="s">
        <v>57</v>
      </c>
      <c r="B407" s="501" t="s">
        <v>609</v>
      </c>
      <c r="C407" s="501" t="s">
        <v>577</v>
      </c>
      <c r="D407" s="506" t="s">
        <v>613</v>
      </c>
      <c r="E407" s="504" t="s">
        <v>68</v>
      </c>
      <c r="F407" s="501" t="s">
        <v>1145</v>
      </c>
      <c r="G407" s="523">
        <v>1.4252345698562889E-3</v>
      </c>
      <c r="H407" s="523">
        <v>-6.4274633965460126E-2</v>
      </c>
      <c r="I407" s="507">
        <v>0.23842652</v>
      </c>
    </row>
    <row r="408" spans="1:9">
      <c r="A408" s="501" t="s">
        <v>57</v>
      </c>
      <c r="B408" s="501" t="s">
        <v>609</v>
      </c>
      <c r="C408" s="501" t="s">
        <v>577</v>
      </c>
      <c r="D408" s="506" t="s">
        <v>612</v>
      </c>
      <c r="E408" s="504" t="s">
        <v>68</v>
      </c>
      <c r="F408" s="501" t="s">
        <v>1251</v>
      </c>
      <c r="G408" s="523">
        <v>-2.7555706752849123E-2</v>
      </c>
      <c r="H408" s="523">
        <v>-6.4274633965460126E-2</v>
      </c>
      <c r="I408" s="507">
        <v>0.23842652</v>
      </c>
    </row>
    <row r="409" spans="1:9">
      <c r="A409" s="501" t="s">
        <v>57</v>
      </c>
      <c r="B409" s="501" t="s">
        <v>609</v>
      </c>
      <c r="C409" s="501" t="s">
        <v>577</v>
      </c>
      <c r="D409" s="506" t="s">
        <v>611</v>
      </c>
      <c r="E409" s="504" t="s">
        <v>68</v>
      </c>
      <c r="F409" s="501" t="s">
        <v>1144</v>
      </c>
      <c r="G409" s="523">
        <v>-5.4120187708616443E-2</v>
      </c>
      <c r="H409" s="523">
        <v>1.458341969748767</v>
      </c>
      <c r="I409" s="507">
        <v>9.4157359999999996E-2</v>
      </c>
    </row>
    <row r="410" spans="1:9">
      <c r="A410" s="501" t="s">
        <v>57</v>
      </c>
      <c r="B410" s="501" t="s">
        <v>609</v>
      </c>
      <c r="C410" s="501" t="s">
        <v>577</v>
      </c>
      <c r="D410" s="506" t="s">
        <v>610</v>
      </c>
      <c r="E410" s="504" t="s">
        <v>68</v>
      </c>
      <c r="F410" s="501" t="s">
        <v>1147</v>
      </c>
      <c r="G410" s="523">
        <v>0.33595340838353682</v>
      </c>
      <c r="H410" s="523">
        <v>1.458341969748767</v>
      </c>
      <c r="I410" s="507">
        <v>9.4157359999999996E-2</v>
      </c>
    </row>
    <row r="411" spans="1:9">
      <c r="A411" s="501" t="s">
        <v>57</v>
      </c>
      <c r="B411" s="501" t="s">
        <v>609</v>
      </c>
      <c r="C411" s="501" t="s">
        <v>577</v>
      </c>
      <c r="D411" s="506" t="s">
        <v>608</v>
      </c>
      <c r="E411" s="504" t="s">
        <v>68</v>
      </c>
      <c r="F411" s="501" t="s">
        <v>1252</v>
      </c>
      <c r="G411" s="523">
        <v>-4.3363994743758218E-2</v>
      </c>
      <c r="H411" s="523">
        <v>1.458341969748767</v>
      </c>
      <c r="I411" s="507">
        <v>9.4157359999999996E-2</v>
      </c>
    </row>
    <row r="412" spans="1:9">
      <c r="A412" s="501" t="s">
        <v>57</v>
      </c>
      <c r="B412" s="501" t="s">
        <v>605</v>
      </c>
      <c r="C412" s="501" t="s">
        <v>577</v>
      </c>
      <c r="D412" s="506" t="s">
        <v>607</v>
      </c>
      <c r="E412" s="504" t="s">
        <v>68</v>
      </c>
      <c r="F412" s="501" t="s">
        <v>1253</v>
      </c>
      <c r="G412" s="523">
        <v>-1.2574668207872858E-2</v>
      </c>
      <c r="H412" s="523">
        <v>1.749562828839987E-3</v>
      </c>
      <c r="I412" s="507">
        <v>4.3718206799999999</v>
      </c>
    </row>
    <row r="413" spans="1:9">
      <c r="A413" s="501" t="s">
        <v>57</v>
      </c>
      <c r="B413" s="501" t="s">
        <v>605</v>
      </c>
      <c r="C413" s="501" t="s">
        <v>577</v>
      </c>
      <c r="D413" s="506" t="s">
        <v>606</v>
      </c>
      <c r="E413" s="504" t="s">
        <v>68</v>
      </c>
      <c r="F413" s="501" t="s">
        <v>1254</v>
      </c>
      <c r="G413" s="523">
        <v>-2.9884015178756889E-3</v>
      </c>
      <c r="H413" s="523">
        <v>1.749562828839987E-3</v>
      </c>
      <c r="I413" s="507">
        <v>4.3718206799999999</v>
      </c>
    </row>
    <row r="414" spans="1:9">
      <c r="A414" s="501" t="s">
        <v>57</v>
      </c>
      <c r="B414" s="501" t="s">
        <v>605</v>
      </c>
      <c r="C414" s="501" t="s">
        <v>577</v>
      </c>
      <c r="D414" s="506" t="s">
        <v>604</v>
      </c>
      <c r="E414" s="504" t="s">
        <v>68</v>
      </c>
      <c r="F414" s="501" t="s">
        <v>1179</v>
      </c>
      <c r="G414" s="523">
        <v>-2.555709154681254E-2</v>
      </c>
      <c r="H414" s="523">
        <v>-2.1467613741385227E-2</v>
      </c>
      <c r="I414" s="508">
        <v>9.0583199999999999E-3</v>
      </c>
    </row>
    <row r="415" spans="1:9">
      <c r="A415" s="501" t="s">
        <v>57</v>
      </c>
      <c r="B415" s="501" t="s">
        <v>602</v>
      </c>
      <c r="C415" s="501" t="s">
        <v>577</v>
      </c>
      <c r="D415" s="506" t="s">
        <v>603</v>
      </c>
      <c r="E415" s="504" t="s">
        <v>68</v>
      </c>
      <c r="F415" s="501" t="s">
        <v>1255</v>
      </c>
      <c r="G415" s="523">
        <v>-3.3725767378681409E-2</v>
      </c>
      <c r="H415" s="523">
        <v>-6.3654970671185793E-2</v>
      </c>
      <c r="I415" s="508">
        <v>0.32487683999999994</v>
      </c>
    </row>
    <row r="416" spans="1:9">
      <c r="A416" s="501" t="s">
        <v>57</v>
      </c>
      <c r="B416" s="501" t="s">
        <v>602</v>
      </c>
      <c r="C416" s="501" t="s">
        <v>577</v>
      </c>
      <c r="D416" s="505" t="s">
        <v>601</v>
      </c>
      <c r="E416" s="504" t="s">
        <v>68</v>
      </c>
      <c r="F416" s="501" t="s">
        <v>1256</v>
      </c>
      <c r="G416" s="523">
        <v>-3.6366924950752881E-2</v>
      </c>
      <c r="H416" s="523">
        <v>3.210552805972656</v>
      </c>
      <c r="I416" s="508">
        <v>1.4043845999999998</v>
      </c>
    </row>
    <row r="417" spans="1:9">
      <c r="A417" s="501" t="s">
        <v>57</v>
      </c>
      <c r="B417" s="501" t="s">
        <v>597</v>
      </c>
      <c r="C417" s="501" t="s">
        <v>577</v>
      </c>
      <c r="D417" s="505" t="s">
        <v>600</v>
      </c>
      <c r="E417" s="504" t="s">
        <v>68</v>
      </c>
      <c r="F417" s="501" t="s">
        <v>1099</v>
      </c>
      <c r="G417" s="523">
        <v>0.35849988217207385</v>
      </c>
      <c r="H417" s="523">
        <v>0.85381630012936616</v>
      </c>
      <c r="I417" s="507">
        <v>2.2348800000000003E-3</v>
      </c>
    </row>
    <row r="418" spans="1:9">
      <c r="A418" s="501" t="s">
        <v>57</v>
      </c>
      <c r="B418" s="501" t="s">
        <v>597</v>
      </c>
      <c r="C418" s="501" t="s">
        <v>577</v>
      </c>
      <c r="D418" s="505" t="s">
        <v>599</v>
      </c>
      <c r="E418" s="504" t="s">
        <v>68</v>
      </c>
      <c r="F418" s="501" t="s">
        <v>1100</v>
      </c>
      <c r="G418" s="523">
        <v>-1.4104952442636006E-2</v>
      </c>
      <c r="H418" s="523">
        <v>0.85381630012936616</v>
      </c>
      <c r="I418" s="507">
        <v>2.2348800000000003E-3</v>
      </c>
    </row>
    <row r="419" spans="1:9">
      <c r="A419" s="501" t="s">
        <v>57</v>
      </c>
      <c r="B419" s="501" t="s">
        <v>597</v>
      </c>
      <c r="C419" s="501" t="s">
        <v>577</v>
      </c>
      <c r="D419" s="505" t="s">
        <v>598</v>
      </c>
      <c r="E419" s="504" t="s">
        <v>68</v>
      </c>
      <c r="F419" s="501" t="s">
        <v>1101</v>
      </c>
      <c r="G419" s="523">
        <v>0.26521200498935099</v>
      </c>
      <c r="H419" s="523">
        <v>0.85381630012936616</v>
      </c>
      <c r="I419" s="507">
        <v>2.2348800000000003E-3</v>
      </c>
    </row>
    <row r="420" spans="1:9">
      <c r="A420" s="501" t="s">
        <v>57</v>
      </c>
      <c r="B420" s="501" t="s">
        <v>597</v>
      </c>
      <c r="C420" s="501" t="s">
        <v>577</v>
      </c>
      <c r="D420" s="505" t="s">
        <v>596</v>
      </c>
      <c r="E420" s="504" t="s">
        <v>68</v>
      </c>
      <c r="F420" s="501" t="s">
        <v>1103</v>
      </c>
      <c r="G420" s="523">
        <v>0.13342449643780169</v>
      </c>
      <c r="H420" s="523">
        <v>0.85381630012936616</v>
      </c>
      <c r="I420" s="507">
        <v>2.2348800000000003E-3</v>
      </c>
    </row>
    <row r="421" spans="1:9">
      <c r="A421" s="501" t="s">
        <v>57</v>
      </c>
      <c r="B421" s="501" t="s">
        <v>590</v>
      </c>
      <c r="C421" s="501" t="s">
        <v>577</v>
      </c>
      <c r="D421" s="506" t="s">
        <v>591</v>
      </c>
      <c r="E421" s="504" t="s">
        <v>68</v>
      </c>
      <c r="F421" s="501" t="s">
        <v>1257</v>
      </c>
      <c r="G421" s="523">
        <v>1.1751098367072299E-2</v>
      </c>
      <c r="H421" s="523">
        <v>2.4958248516283709E-2</v>
      </c>
      <c r="I421" s="507">
        <v>7.7411633499999999</v>
      </c>
    </row>
    <row r="422" spans="1:9">
      <c r="A422" s="501" t="s">
        <v>57</v>
      </c>
      <c r="B422" s="501" t="s">
        <v>590</v>
      </c>
      <c r="C422" s="501" t="s">
        <v>577</v>
      </c>
      <c r="D422" s="506" t="s">
        <v>589</v>
      </c>
      <c r="E422" s="504" t="s">
        <v>68</v>
      </c>
      <c r="F422" s="501" t="s">
        <v>1258</v>
      </c>
      <c r="G422" s="523">
        <v>-1.2355229346185242E-3</v>
      </c>
      <c r="H422" s="523">
        <v>2.4958248516283709E-2</v>
      </c>
      <c r="I422" s="507">
        <v>7.7411633499999999</v>
      </c>
    </row>
    <row r="423" spans="1:9">
      <c r="A423" s="501" t="s">
        <v>57</v>
      </c>
      <c r="B423" s="501" t="s">
        <v>578</v>
      </c>
      <c r="C423" s="501" t="s">
        <v>577</v>
      </c>
      <c r="D423" s="506" t="s">
        <v>587</v>
      </c>
      <c r="E423" s="504" t="s">
        <v>68</v>
      </c>
      <c r="F423" s="501" t="s">
        <v>1259</v>
      </c>
      <c r="G423" s="523">
        <v>-6.6557331123276789E-2</v>
      </c>
      <c r="H423" s="523">
        <v>-6.7842259467525617E-2</v>
      </c>
      <c r="I423" s="536">
        <v>0.12093652999999999</v>
      </c>
    </row>
    <row r="424" spans="1:9">
      <c r="A424" s="501" t="s">
        <v>57</v>
      </c>
      <c r="B424" s="501" t="s">
        <v>578</v>
      </c>
      <c r="C424" s="501" t="s">
        <v>577</v>
      </c>
      <c r="D424" s="506" t="s">
        <v>586</v>
      </c>
      <c r="E424" s="504" t="s">
        <v>68</v>
      </c>
      <c r="F424" s="501" t="s">
        <v>1260</v>
      </c>
      <c r="G424" s="523">
        <v>-3.9757541399318232E-2</v>
      </c>
      <c r="H424" s="523">
        <v>-6.6666201899433397E-2</v>
      </c>
      <c r="I424" s="536">
        <v>0.69623575999999987</v>
      </c>
    </row>
    <row r="425" spans="1:9">
      <c r="A425" s="501" t="s">
        <v>57</v>
      </c>
      <c r="B425" s="501" t="s">
        <v>578</v>
      </c>
      <c r="C425" s="501" t="s">
        <v>577</v>
      </c>
      <c r="D425" s="506" t="s">
        <v>585</v>
      </c>
      <c r="E425" s="504" t="s">
        <v>68</v>
      </c>
      <c r="F425" s="501" t="s">
        <v>1261</v>
      </c>
      <c r="G425" s="523">
        <v>8.4913974559322897E-3</v>
      </c>
      <c r="H425" s="523">
        <v>-1.7921054151538267E-2</v>
      </c>
      <c r="I425" s="536">
        <v>0.58166217999999992</v>
      </c>
    </row>
    <row r="426" spans="1:9">
      <c r="A426" s="501" t="s">
        <v>57</v>
      </c>
      <c r="B426" s="501" t="s">
        <v>578</v>
      </c>
      <c r="C426" s="501" t="s">
        <v>577</v>
      </c>
      <c r="D426" s="506" t="s">
        <v>584</v>
      </c>
      <c r="E426" s="504" t="s">
        <v>68</v>
      </c>
      <c r="F426" s="501" t="s">
        <v>1262</v>
      </c>
      <c r="G426" s="523">
        <v>-6.5609070135348918E-2</v>
      </c>
      <c r="H426" s="523">
        <v>-1.7921054151538267E-2</v>
      </c>
      <c r="I426" s="536">
        <v>0.58166217999999992</v>
      </c>
    </row>
    <row r="427" spans="1:9">
      <c r="A427" s="501" t="s">
        <v>57</v>
      </c>
      <c r="B427" s="501" t="s">
        <v>578</v>
      </c>
      <c r="C427" s="501" t="s">
        <v>577</v>
      </c>
      <c r="D427" s="506" t="s">
        <v>583</v>
      </c>
      <c r="E427" s="504" t="s">
        <v>68</v>
      </c>
      <c r="F427" s="501" t="s">
        <v>1263</v>
      </c>
      <c r="G427" s="523">
        <v>-3.2277710109622409E-2</v>
      </c>
      <c r="H427" s="523">
        <v>-3.5072881561338864E-2</v>
      </c>
      <c r="I427" s="536">
        <v>8.7790999999999994E-2</v>
      </c>
    </row>
    <row r="428" spans="1:9">
      <c r="A428" s="501" t="s">
        <v>57</v>
      </c>
      <c r="B428" s="501" t="s">
        <v>578</v>
      </c>
      <c r="C428" s="501" t="s">
        <v>577</v>
      </c>
      <c r="D428" s="506" t="s">
        <v>582</v>
      </c>
      <c r="E428" s="504" t="s">
        <v>68</v>
      </c>
      <c r="F428" s="501" t="s">
        <v>1264</v>
      </c>
      <c r="G428" s="523">
        <v>-8.3777608530083772E-2</v>
      </c>
      <c r="H428" s="523">
        <v>-4.2637914896570976E-2</v>
      </c>
      <c r="I428" s="536">
        <v>0.16275995999999998</v>
      </c>
    </row>
    <row r="429" spans="1:9">
      <c r="A429" s="501" t="s">
        <v>57</v>
      </c>
      <c r="B429" s="501" t="s">
        <v>578</v>
      </c>
      <c r="C429" s="501" t="s">
        <v>577</v>
      </c>
      <c r="D429" s="506" t="s">
        <v>581</v>
      </c>
      <c r="E429" s="504" t="s">
        <v>68</v>
      </c>
      <c r="F429" s="501" t="s">
        <v>1265</v>
      </c>
      <c r="G429" s="523">
        <v>4.1361256544502623E-2</v>
      </c>
      <c r="H429" s="523">
        <v>5.5304899591649609E-2</v>
      </c>
      <c r="I429" s="536">
        <v>0.56460239000000001</v>
      </c>
    </row>
    <row r="430" spans="1:9">
      <c r="A430" s="501" t="s">
        <v>57</v>
      </c>
      <c r="B430" s="501" t="s">
        <v>578</v>
      </c>
      <c r="C430" s="501" t="s">
        <v>577</v>
      </c>
      <c r="D430" s="505" t="s">
        <v>576</v>
      </c>
      <c r="E430" s="504" t="s">
        <v>68</v>
      </c>
      <c r="F430" s="501" t="s">
        <v>1184</v>
      </c>
      <c r="G430" s="523">
        <v>-6.7974147537330068E-2</v>
      </c>
      <c r="H430" s="523">
        <v>-6.4628460425762826E-2</v>
      </c>
      <c r="I430" s="536">
        <v>3.7545199999999995E-3</v>
      </c>
    </row>
    <row r="431" spans="1:9">
      <c r="G431" s="516"/>
      <c r="H431" s="516"/>
      <c r="I431" s="502"/>
    </row>
    <row r="432" spans="1:9">
      <c r="G432" s="516"/>
      <c r="H432" s="516"/>
    </row>
  </sheetData>
  <autoFilter ref="A9:I176"/>
  <pageMargins left="0.75" right="0.75" top="1" bottom="1" header="0.5" footer="0.5"/>
  <pageSetup orientation="portrait" horizontalDpi="4294967292" verticalDpi="4294967292"/>
  <headerFooter alignWithMargins="0"/>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Fully-Scored Profiles</vt:lpstr>
      <vt:lpstr>Quick-Scored Profiles</vt:lpstr>
      <vt:lpstr>By Region</vt:lpstr>
      <vt:lpstr>Species &amp; Region</vt:lpstr>
      <vt:lpstr>MSC (1)</vt:lpstr>
      <vt:lpstr>MSC (2)</vt:lpstr>
      <vt:lpstr>Harvest trends</vt:lpstr>
      <vt:lpstr>Hatchery trends</vt:lpstr>
      <vt:lpstr>Stock trends</vt:lpstr>
    </vt:vector>
  </TitlesOfParts>
  <Manager/>
  <Company>University of Oregon</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Portley</dc:creator>
  <cp:keywords/>
  <dc:description/>
  <cp:lastModifiedBy>Lani Asato</cp:lastModifiedBy>
  <dcterms:created xsi:type="dcterms:W3CDTF">2013-02-11T20:39:11Z</dcterms:created>
  <dcterms:modified xsi:type="dcterms:W3CDTF">2014-12-04T18:24:35Z</dcterms:modified>
  <cp:category/>
</cp:coreProperties>
</file>